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170" windowWidth="19185" windowHeight="5970" tabRatio="802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</sheet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'G&amp;I'!$A$4:$K$65</definedName>
    <definedName name="_xlnm.Print_Area" localSheetId="10">Kaudimena!$A$4:$K$65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G38" i="24" l="1"/>
  <c r="G21" i="24"/>
  <c r="F37" i="24"/>
  <c r="H37" i="24" s="1"/>
  <c r="F36" i="24"/>
  <c r="H36" i="24" s="1"/>
  <c r="F34" i="24"/>
  <c r="H34" i="24" s="1"/>
  <c r="G33" i="24"/>
  <c r="G32" i="24"/>
  <c r="F41" i="21"/>
  <c r="F40" i="21"/>
  <c r="H40" i="21" s="1"/>
  <c r="F39" i="21"/>
  <c r="H39" i="21" s="1"/>
  <c r="F38" i="21"/>
  <c r="F37" i="21"/>
  <c r="H37" i="21" s="1"/>
  <c r="F36" i="21"/>
  <c r="H36" i="21" s="1"/>
  <c r="G16" i="24"/>
  <c r="F34" i="21"/>
  <c r="H34" i="21" s="1"/>
  <c r="G15" i="24"/>
  <c r="F33" i="21"/>
  <c r="H33" i="21" s="1"/>
  <c r="F16" i="24" l="1"/>
  <c r="H16" i="24" s="1"/>
  <c r="F33" i="24"/>
  <c r="H33" i="24" s="1"/>
  <c r="F15" i="24"/>
  <c r="F32" i="24"/>
  <c r="H32" i="24" s="1"/>
  <c r="H38" i="21"/>
  <c r="H41" i="21"/>
  <c r="G18" i="24"/>
  <c r="G35" i="24"/>
  <c r="H15" i="24"/>
  <c r="H17" i="24"/>
  <c r="H19" i="24"/>
  <c r="H20" i="24"/>
  <c r="F21" i="24"/>
  <c r="H21" i="24" s="1"/>
  <c r="H15" i="21"/>
  <c r="H16" i="21"/>
  <c r="H18" i="21"/>
  <c r="H19" i="21"/>
  <c r="H20" i="21"/>
  <c r="H21" i="21"/>
  <c r="H22" i="21"/>
  <c r="H23" i="21"/>
  <c r="F18" i="24" l="1"/>
  <c r="H18" i="24" s="1"/>
  <c r="F38" i="24"/>
  <c r="H38" i="24" s="1"/>
  <c r="F35" i="24"/>
  <c r="H35" i="24" s="1"/>
  <c r="F59" i="23" l="1"/>
  <c r="H59" i="23" s="1"/>
  <c r="H31" i="23"/>
  <c r="F60" i="23"/>
  <c r="H60" i="23" s="1"/>
  <c r="H32" i="23"/>
  <c r="I29" i="18"/>
  <c r="G23" i="16"/>
  <c r="E40" i="16" l="1"/>
  <c r="G40" i="16" s="1"/>
  <c r="G45" i="20"/>
  <c r="G24" i="20" l="1"/>
  <c r="E45" i="11"/>
  <c r="G45" i="11" s="1"/>
  <c r="E44" i="11"/>
  <c r="E43" i="11"/>
  <c r="G43" i="11" s="1"/>
  <c r="F24" i="20" l="1"/>
  <c r="E47" i="11"/>
  <c r="G47" i="11" s="1"/>
  <c r="G21" i="11"/>
  <c r="G23" i="11"/>
  <c r="E24" i="11"/>
  <c r="E46" i="11" s="1"/>
  <c r="G25" i="11"/>
  <c r="E26" i="11" l="1"/>
  <c r="F50" i="11"/>
  <c r="F40" i="11"/>
  <c r="F41" i="11"/>
  <c r="I23" i="19"/>
  <c r="F39" i="11"/>
  <c r="F28" i="11"/>
  <c r="F18" i="11"/>
  <c r="F19" i="11"/>
  <c r="F17" i="11"/>
  <c r="F16" i="11"/>
  <c r="F38" i="11" l="1"/>
  <c r="I40" i="19"/>
  <c r="G15" i="20"/>
  <c r="F22" i="11"/>
  <c r="G36" i="20"/>
  <c r="F44" i="11"/>
  <c r="E49" i="11"/>
  <c r="E48" i="11"/>
  <c r="F46" i="11" l="1"/>
  <c r="G44" i="11"/>
  <c r="F24" i="11"/>
  <c r="G22" i="11"/>
  <c r="F45" i="20"/>
  <c r="H45" i="20" s="1"/>
  <c r="F44" i="20"/>
  <c r="H44" i="20" s="1"/>
  <c r="F43" i="20"/>
  <c r="H43" i="20" s="1"/>
  <c r="F42" i="20"/>
  <c r="H42" i="20" s="1"/>
  <c r="F16" i="20"/>
  <c r="F37" i="20" s="1"/>
  <c r="E42" i="11"/>
  <c r="G42" i="11" s="1"/>
  <c r="F26" i="11" l="1"/>
  <c r="G16" i="20"/>
  <c r="G24" i="11"/>
  <c r="G37" i="20"/>
  <c r="F48" i="11"/>
  <c r="G46" i="11"/>
  <c r="H23" i="20"/>
  <c r="H22" i="20"/>
  <c r="H21" i="20"/>
  <c r="G20" i="11"/>
  <c r="H16" i="20"/>
  <c r="F25" i="20"/>
  <c r="H24" i="20"/>
  <c r="G49" i="11" l="1"/>
  <c r="G48" i="11"/>
  <c r="G39" i="20"/>
  <c r="G46" i="20"/>
  <c r="G18" i="20"/>
  <c r="G25" i="20"/>
  <c r="H25" i="20" s="1"/>
  <c r="G27" i="11"/>
  <c r="G26" i="11"/>
  <c r="H37" i="20"/>
  <c r="F46" i="20"/>
  <c r="H46" i="20" s="1"/>
  <c r="F43" i="23" l="1"/>
  <c r="H15" i="23"/>
  <c r="F44" i="23"/>
  <c r="H16" i="23"/>
  <c r="F45" i="23"/>
  <c r="H17" i="23"/>
  <c r="F46" i="23"/>
  <c r="H18" i="23"/>
  <c r="F47" i="23"/>
  <c r="H19" i="23"/>
  <c r="F48" i="23"/>
  <c r="H20" i="23"/>
  <c r="F49" i="23"/>
  <c r="H21" i="23"/>
  <c r="F50" i="23"/>
  <c r="H22" i="23"/>
  <c r="F51" i="23"/>
  <c r="H23" i="23"/>
  <c r="F52" i="23"/>
  <c r="H24" i="23"/>
  <c r="F53" i="23"/>
  <c r="H25" i="23"/>
  <c r="G26" i="23"/>
  <c r="G27" i="23"/>
  <c r="G28" i="23"/>
  <c r="H43" i="23"/>
  <c r="H44" i="23"/>
  <c r="H45" i="23"/>
  <c r="H46" i="23"/>
  <c r="H47" i="23"/>
  <c r="H48" i="23"/>
  <c r="H49" i="23"/>
  <c r="H50" i="23"/>
  <c r="H51" i="23"/>
  <c r="H52" i="23"/>
  <c r="H53" i="23"/>
  <c r="G54" i="23"/>
  <c r="G55" i="23"/>
  <c r="G56" i="23"/>
  <c r="F61" i="23" l="1"/>
  <c r="H61" i="23" s="1"/>
  <c r="H33" i="23"/>
  <c r="F57" i="23"/>
  <c r="H57" i="23" s="1"/>
  <c r="H29" i="23"/>
  <c r="F28" i="23"/>
  <c r="F27" i="23"/>
  <c r="F26" i="23"/>
  <c r="F55" i="23" l="1"/>
  <c r="H55" i="23" s="1"/>
  <c r="H27" i="23"/>
  <c r="F54" i="23"/>
  <c r="H54" i="23" s="1"/>
  <c r="H26" i="23"/>
  <c r="F56" i="23"/>
  <c r="H56" i="23" s="1"/>
  <c r="H28" i="23"/>
  <c r="F38" i="20"/>
  <c r="H38" i="20" s="1"/>
  <c r="H17" i="20"/>
  <c r="F40" i="20"/>
  <c r="H40" i="20" s="1"/>
  <c r="H19" i="20"/>
  <c r="F41" i="20"/>
  <c r="H41" i="20" s="1"/>
  <c r="H20" i="20"/>
  <c r="F18" i="20" l="1"/>
  <c r="F39" i="20" l="1"/>
  <c r="H39" i="20" s="1"/>
  <c r="H18" i="20"/>
  <c r="G55" i="19"/>
  <c r="G40" i="19" l="1"/>
  <c r="G51" i="19" s="1"/>
  <c r="G56" i="19" s="1"/>
  <c r="G26" i="19"/>
  <c r="H27" i="19"/>
  <c r="G23" i="19"/>
  <c r="G20" i="19"/>
  <c r="G16" i="19"/>
  <c r="I55" i="19" l="1"/>
  <c r="I51" i="19"/>
  <c r="I56" i="19" l="1"/>
  <c r="G38" i="19" l="1"/>
  <c r="F15" i="11" s="1"/>
  <c r="I26" i="19" l="1"/>
  <c r="I20" i="19"/>
  <c r="I16" i="19"/>
  <c r="I38" i="19" s="1"/>
  <c r="F37" i="11" s="1"/>
  <c r="F15" i="20"/>
  <c r="H41" i="19"/>
  <c r="H39" i="19"/>
  <c r="E18" i="11"/>
  <c r="E40" i="11" s="1"/>
  <c r="G40" i="11" s="1"/>
  <c r="E19" i="11"/>
  <c r="E41" i="11" s="1"/>
  <c r="G41" i="11" s="1"/>
  <c r="E17" i="11"/>
  <c r="E39" i="11" s="1"/>
  <c r="G39" i="11" s="1"/>
  <c r="E16" i="11"/>
  <c r="E38" i="11" s="1"/>
  <c r="G38" i="11" s="1"/>
  <c r="J15" i="19"/>
  <c r="I23" i="18"/>
  <c r="I22" i="18"/>
  <c r="I27" i="18" s="1"/>
  <c r="I32" i="18" s="1"/>
  <c r="I37" i="18" s="1"/>
  <c r="J40" i="18"/>
  <c r="J38" i="18"/>
  <c r="J36" i="18"/>
  <c r="J35" i="18"/>
  <c r="J34" i="18"/>
  <c r="J33" i="18"/>
  <c r="J31" i="18"/>
  <c r="J30" i="18"/>
  <c r="J28" i="18"/>
  <c r="J26" i="18"/>
  <c r="J25" i="18"/>
  <c r="J24" i="18"/>
  <c r="J21" i="18"/>
  <c r="J20" i="18"/>
  <c r="J19" i="18"/>
  <c r="J18" i="18"/>
  <c r="J17" i="18"/>
  <c r="J16" i="18"/>
  <c r="J15" i="18"/>
  <c r="F16" i="19" l="1"/>
  <c r="H16" i="19" s="1"/>
  <c r="J41" i="18"/>
  <c r="F20" i="19"/>
  <c r="G16" i="11"/>
  <c r="G17" i="11"/>
  <c r="G19" i="11"/>
  <c r="G18" i="11"/>
  <c r="F36" i="20"/>
  <c r="H36" i="20" s="1"/>
  <c r="H15" i="20"/>
  <c r="H52" i="19"/>
  <c r="E28" i="11"/>
  <c r="E50" i="11" s="1"/>
  <c r="G50" i="11" s="1"/>
  <c r="H15" i="19"/>
  <c r="J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F23" i="19"/>
  <c r="J25" i="19"/>
  <c r="H25" i="19"/>
  <c r="J28" i="19"/>
  <c r="H28" i="19"/>
  <c r="F26" i="19"/>
  <c r="H26" i="19" s="1"/>
  <c r="J29" i="19"/>
  <c r="H29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42" i="19"/>
  <c r="H42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3" i="19"/>
  <c r="H53" i="19"/>
  <c r="J54" i="19"/>
  <c r="H54" i="19"/>
  <c r="J26" i="19"/>
  <c r="J27" i="19"/>
  <c r="J39" i="19"/>
  <c r="F40" i="19"/>
  <c r="J41" i="19"/>
  <c r="F55" i="19"/>
  <c r="J52" i="19"/>
  <c r="H22" i="18"/>
  <c r="H29" i="18"/>
  <c r="J29" i="18" s="1"/>
  <c r="G22" i="16"/>
  <c r="G21" i="16"/>
  <c r="F38" i="19" l="1"/>
  <c r="E15" i="11" s="1"/>
  <c r="E37" i="11" s="1"/>
  <c r="G37" i="11" s="1"/>
  <c r="E38" i="16"/>
  <c r="G38" i="16" s="1"/>
  <c r="E39" i="16"/>
  <c r="G39" i="16" s="1"/>
  <c r="G15" i="11"/>
  <c r="G28" i="11"/>
  <c r="J38" i="19"/>
  <c r="J55" i="19"/>
  <c r="H55" i="19"/>
  <c r="J40" i="19"/>
  <c r="H40" i="19"/>
  <c r="H23" i="19"/>
  <c r="J23" i="19"/>
  <c r="F51" i="19"/>
  <c r="H51" i="19" s="1"/>
  <c r="J22" i="18"/>
  <c r="G20" i="16"/>
  <c r="G18" i="16"/>
  <c r="H38" i="19" l="1"/>
  <c r="E37" i="16"/>
  <c r="G37" i="16" s="1"/>
  <c r="E35" i="16"/>
  <c r="G35" i="16" s="1"/>
  <c r="F56" i="19"/>
  <c r="J51" i="19"/>
  <c r="J56" i="19" l="1"/>
  <c r="H56" i="19"/>
  <c r="H23" i="18" l="1"/>
  <c r="J23" i="18" l="1"/>
  <c r="H27" i="18"/>
  <c r="J27" i="18" l="1"/>
  <c r="H32" i="18"/>
  <c r="H37" i="18" s="1"/>
  <c r="J37" i="18" s="1"/>
  <c r="E31" i="17" l="1"/>
  <c r="G31" i="17" s="1"/>
  <c r="G15" i="17"/>
  <c r="E32" i="17"/>
  <c r="G32" i="17" s="1"/>
  <c r="G16" i="17"/>
  <c r="E34" i="17" l="1"/>
  <c r="G34" i="17" s="1"/>
  <c r="G18" i="17"/>
  <c r="G19" i="17"/>
  <c r="E35" i="17"/>
  <c r="G35" i="17" s="1"/>
  <c r="G20" i="17"/>
  <c r="E36" i="17"/>
  <c r="G36" i="17" s="1"/>
  <c r="E32" i="16" l="1"/>
  <c r="E36" i="16"/>
  <c r="G17" i="17"/>
  <c r="E33" i="17"/>
  <c r="G33" i="17" s="1"/>
  <c r="E33" i="16" l="1"/>
  <c r="E34" i="16" l="1"/>
  <c r="G32" i="16"/>
  <c r="G33" i="16"/>
  <c r="G36" i="16"/>
  <c r="G34" i="16" l="1"/>
  <c r="G19" i="16"/>
  <c r="G16" i="16"/>
  <c r="G15" i="16"/>
  <c r="G17" i="16" l="1"/>
  <c r="G18" i="15" l="1"/>
  <c r="G17" i="15" l="1"/>
  <c r="G15" i="15"/>
  <c r="E32" i="15"/>
  <c r="E33" i="15"/>
  <c r="E34" i="15"/>
  <c r="G34" i="15" s="1"/>
  <c r="E31" i="15"/>
  <c r="G16" i="15"/>
  <c r="G31" i="15" l="1"/>
  <c r="G32" i="15"/>
  <c r="G33" i="15"/>
  <c r="E35" i="15"/>
  <c r="J39" i="18"/>
  <c r="G19" i="15"/>
  <c r="G35" i="15" l="1"/>
  <c r="F35" i="21" l="1"/>
  <c r="H35" i="21" s="1"/>
  <c r="H17" i="21"/>
</calcChain>
</file>

<file path=xl/sharedStrings.xml><?xml version="1.0" encoding="utf-8"?>
<sst xmlns="http://schemas.openxmlformats.org/spreadsheetml/2006/main" count="329" uniqueCount="148">
  <si>
    <t>ROE</t>
  </si>
  <si>
    <t>ROA</t>
  </si>
  <si>
    <t>RORWA</t>
  </si>
  <si>
    <t>ROTE</t>
  </si>
  <si>
    <t>LCR</t>
  </si>
  <si>
    <t>NSFR</t>
  </si>
  <si>
    <t>n.s</t>
  </si>
  <si>
    <t>Pro-forma:</t>
  </si>
  <si>
    <t>Pro-forma CET1 fully loaded</t>
  </si>
  <si>
    <t>LtD</t>
  </si>
  <si>
    <t>2016/IV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</si>
  <si>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</si>
  <si>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</si>
  <si>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</si>
  <si>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</si>
  <si>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</si>
  <si>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</si>
  <si>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</si>
  <si>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</si>
  <si>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</si>
  <si>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</si>
  <si>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</si>
  <si>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</si>
  <si>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</si>
  <si>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</si>
  <si>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</si>
  <si>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</si>
  <si>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</si>
  <si>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</si>
  <si>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Ald.</t>
  </si>
  <si>
    <t>2015/IV</t>
  </si>
  <si>
    <t>Azken hiruhilekoaren bilakaera</t>
  </si>
  <si>
    <t>2016/III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</si>
  <si>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</si>
  <si>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</si>
  <si>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</si>
  <si>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</si>
  <si>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</si>
  <si>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</si>
  <si>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</si>
  <si>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</si>
  <si>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</si>
  <si>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</si>
  <si>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</si>
  <si>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</si>
  <si>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</si>
  <si>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</si>
  <si>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</si>
  <si>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</si>
  <si>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</si>
  <si>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</si>
  <si>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</si>
  <si>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</si>
  <si>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</si>
  <si>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</si>
  <si>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</si>
  <si>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</si>
  <si>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</si>
  <si>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</si>
  <si>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</si>
  <si>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</si>
  <si>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</si>
  <si>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</si>
  <si>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</si>
  <si>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</si>
  <si>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</si>
  <si>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</si>
  <si>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Ustiapeneko jardueraren emaitza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</si>
  <si>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</si>
  <si>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</si>
  <si>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</si>
  <si>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</si>
  <si>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</si>
  <si>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</si>
  <si>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</si>
  <si>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</si>
  <si>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</si>
  <si>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</si>
  <si>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</si>
  <si>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</si>
  <si>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</si>
  <si>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</si>
  <si>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</si>
  <si>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</si>
  <si>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</si>
  <si>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</si>
  <si>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</si>
  <si>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</si>
  <si>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</si>
  <si>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</si>
  <si>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</si>
  <si>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</si>
  <si>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</si>
  <si>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</si>
  <si>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</si>
  <si>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</si>
  <si>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</si>
  <si>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</si>
  <si>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</si>
  <si>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</si>
  <si>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</si>
  <si>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</si>
  <si>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</si>
  <si>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</si>
  <si>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</si>
  <si>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</si>
  <si>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</si>
  <si>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</si>
  <si>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</si>
  <si>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</si>
  <si>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</si>
  <si>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</si>
  <si>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</si>
  <si>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</si>
  <si>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</si>
  <si>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</si>
  <si>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</si>
  <si>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</si>
  <si>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</si>
  <si>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</si>
  <si>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</si>
  <si>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</si>
  <si>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</si>
  <si>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</si>
  <si>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</si>
  <si>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</si>
  <si>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</si>
  <si>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</si>
  <si>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</si>
  <si>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t>Zalantzazkoa + Kontingentea</t>
  </si>
  <si>
    <t>Kredituaren estaldura ratioa</t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</si>
  <si>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</si>
  <si>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</si>
  <si>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</si>
  <si>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</si>
  <si>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</si>
  <si>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</si>
  <si>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</si>
  <si>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</si>
  <si>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</si>
  <si>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</si>
  <si>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</si>
  <si>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</si>
  <si>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</si>
  <si>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</si>
  <si>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</si>
  <si>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du barne.</t>
    </r>
  </si>
  <si>
    <r>
      <t>2016/III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</si>
</sst>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0" fontId="11" fillId="2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adierazgarrienak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-Irabazien Kontua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baliabideak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677264</xdr:colOff>
      <xdr:row>1</xdr:row>
      <xdr:rowOff>31749</xdr:rowOff>
    </xdr:from>
    <xdr:to>
      <xdr:col>4</xdr:col>
      <xdr:colOff>560919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01264" y="222249"/>
          <a:ext cx="140765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423335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5468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itzuli</a:t>
          </a: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624418</xdr:colOff>
      <xdr:row>1</xdr:row>
      <xdr:rowOff>42333</xdr:rowOff>
    </xdr:from>
    <xdr:to>
      <xdr:col>5</xdr:col>
      <xdr:colOff>920752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72418" y="232833"/>
          <a:ext cx="147108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444502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864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Beste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758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</a:t>
          </a:r>
          <a:r>
            <a:rPr lang="es-ES" sz="1200" b="1">
              <a:solidFill>
                <a:schemeClr val="bg1"/>
              </a:solidFill>
              <a:latin typeface="Calibri" pitchFamily="34" charset="0"/>
            </a:rPr>
            <a:t>ifra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656166</xdr:colOff>
      <xdr:row>1</xdr:row>
      <xdr:rowOff>42333</xdr:rowOff>
    </xdr:from>
    <xdr:to>
      <xdr:col>5</xdr:col>
      <xdr:colOff>846667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6" y="232833"/>
          <a:ext cx="13652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973651</xdr:colOff>
      <xdr:row>1</xdr:row>
      <xdr:rowOff>42349</xdr:rowOff>
    </xdr:from>
    <xdr:to>
      <xdr:col>7</xdr:col>
      <xdr:colOff>455085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96401" y="232849"/>
          <a:ext cx="141818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3" t="s">
        <v>10</v>
      </c>
      <c r="D10" s="3" t="s">
        <v>11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126</v>
      </c>
    </row>
    <row r="12" spans="2:8" ht="17.25" x14ac:dyDescent="0.3">
      <c r="B12" s="6" t="s">
        <v>13</v>
      </c>
      <c r="G12" s="4"/>
    </row>
    <row r="13" spans="2:8" x14ac:dyDescent="0.25">
      <c r="B13" s="74" t="s">
        <v>14</v>
      </c>
      <c r="G13" s="4"/>
    </row>
    <row r="14" spans="2:8" x14ac:dyDescent="0.25">
      <c r="B14" s="7"/>
      <c r="C14" s="7"/>
      <c r="D14" s="7"/>
      <c r="E14" s="7"/>
      <c r="F14" s="8" t="s">
        <v>10</v>
      </c>
      <c r="G14" s="9" t="s">
        <v>30</v>
      </c>
      <c r="H14" s="9" t="s">
        <v>29</v>
      </c>
    </row>
    <row r="15" spans="2:8" s="19" customFormat="1" x14ac:dyDescent="0.25">
      <c r="B15" s="19" t="s">
        <v>19</v>
      </c>
      <c r="F15" s="20">
        <f>+'Bezeroen maileguak'!F15</f>
        <v>42573.133000000002</v>
      </c>
      <c r="G15" s="25">
        <f>+'Bezeroen maileguak'!G15</f>
        <v>42821.17</v>
      </c>
      <c r="H15" s="35">
        <f t="shared" ref="H15:H20" si="0">IF(ISERROR($F15/G15),"-",$F15/G15-1)</f>
        <v>-5.7923919407152358E-3</v>
      </c>
    </row>
    <row r="16" spans="2:8" x14ac:dyDescent="0.25">
      <c r="B16" s="21" t="s">
        <v>122</v>
      </c>
      <c r="C16" s="21"/>
      <c r="D16" s="21"/>
      <c r="E16" s="21"/>
      <c r="F16" s="22">
        <f>+'Bezeroen maileguak'!F16</f>
        <v>43685.809000000001</v>
      </c>
      <c r="G16" s="23">
        <f>+'Bezeroen maileguak'!G16</f>
        <v>45009.845000000001</v>
      </c>
      <c r="H16" s="41">
        <f t="shared" si="0"/>
        <v>-2.9416586526792132E-2</v>
      </c>
    </row>
    <row r="17" spans="2:8" x14ac:dyDescent="0.25">
      <c r="B17" s="19" t="s">
        <v>127</v>
      </c>
      <c r="C17" s="19"/>
      <c r="D17" s="19"/>
      <c r="E17" s="19"/>
      <c r="F17" s="20">
        <v>2963.788</v>
      </c>
      <c r="G17" s="25">
        <v>3893.3009999999999</v>
      </c>
      <c r="H17" s="35">
        <f t="shared" si="0"/>
        <v>-0.2387467601400457</v>
      </c>
    </row>
    <row r="18" spans="2:8" x14ac:dyDescent="0.25">
      <c r="B18" s="5" t="s">
        <v>128</v>
      </c>
      <c r="C18" s="5"/>
      <c r="D18" s="5"/>
      <c r="E18" s="5"/>
      <c r="F18" s="70">
        <f>+F17/F16</f>
        <v>6.784326690619373E-2</v>
      </c>
      <c r="G18" s="71">
        <f>+G17/G16</f>
        <v>8.6498875968135408E-2</v>
      </c>
      <c r="H18" s="72" t="str">
        <f>IF(ISERROR($F18-G18),"-",CONCATENATE((FIXED($F18-G18,4)*10000)," op"))</f>
        <v>-187 op</v>
      </c>
    </row>
    <row r="19" spans="2:8" x14ac:dyDescent="0.25">
      <c r="B19" s="19" t="s">
        <v>129</v>
      </c>
      <c r="C19" s="19"/>
      <c r="D19" s="19"/>
      <c r="E19" s="19"/>
      <c r="F19" s="20">
        <v>3006.2840000000001</v>
      </c>
      <c r="G19" s="25">
        <v>3937.3760000000002</v>
      </c>
      <c r="H19" s="35">
        <f t="shared" si="0"/>
        <v>-0.23647525661760527</v>
      </c>
    </row>
    <row r="20" spans="2:8" x14ac:dyDescent="0.25">
      <c r="B20" s="19" t="s">
        <v>102</v>
      </c>
      <c r="C20" s="19"/>
      <c r="D20" s="19"/>
      <c r="E20" s="19"/>
      <c r="F20" s="20">
        <v>1447.414</v>
      </c>
      <c r="G20" s="25">
        <v>2187.2759999999998</v>
      </c>
      <c r="H20" s="35">
        <f t="shared" si="0"/>
        <v>-0.33825726611547879</v>
      </c>
    </row>
    <row r="21" spans="2:8" x14ac:dyDescent="0.25">
      <c r="B21" s="5" t="s">
        <v>130</v>
      </c>
      <c r="C21" s="5"/>
      <c r="D21" s="5"/>
      <c r="E21" s="5"/>
      <c r="F21" s="70">
        <f>+F20/F19</f>
        <v>0.48146282919378208</v>
      </c>
      <c r="G21" s="71">
        <f>+G20/G19</f>
        <v>0.55551616101688017</v>
      </c>
      <c r="H21" s="72" t="str">
        <f>IF(ISERROR($F21-G21),"-",CONCATENATE((FIXED($F21-G21,4)*10000)," op"))</f>
        <v>-741 op</v>
      </c>
    </row>
    <row r="22" spans="2:8" x14ac:dyDescent="0.25">
      <c r="B22" s="5"/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x14ac:dyDescent="0.25">
      <c r="B25" s="5"/>
      <c r="C25" s="5"/>
      <c r="D25" s="5"/>
      <c r="E25" s="5"/>
      <c r="F25" s="37"/>
      <c r="G25" s="37"/>
      <c r="H25" s="38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/>
      <c r="C28" s="6"/>
      <c r="D28" s="6"/>
      <c r="E28" s="6"/>
      <c r="F28" s="43"/>
      <c r="G28" s="43"/>
      <c r="H28" s="44"/>
    </row>
    <row r="29" spans="2:8" ht="17.25" x14ac:dyDescent="0.3">
      <c r="B29" s="6" t="s">
        <v>31</v>
      </c>
      <c r="G29" s="4"/>
    </row>
    <row r="30" spans="2:8" x14ac:dyDescent="0.25">
      <c r="B30" s="74" t="s">
        <v>14</v>
      </c>
      <c r="G30" s="4"/>
    </row>
    <row r="31" spans="2:8" x14ac:dyDescent="0.25">
      <c r="B31" s="7"/>
      <c r="C31" s="7"/>
      <c r="D31" s="7"/>
      <c r="E31" s="7"/>
      <c r="F31" s="8" t="s">
        <v>10</v>
      </c>
      <c r="G31" s="9" t="s">
        <v>32</v>
      </c>
      <c r="H31" s="9" t="s">
        <v>29</v>
      </c>
    </row>
    <row r="32" spans="2:8" x14ac:dyDescent="0.25">
      <c r="B32" s="19" t="s">
        <v>19</v>
      </c>
      <c r="C32" s="19"/>
      <c r="D32" s="19"/>
      <c r="E32" s="19"/>
      <c r="F32" s="20">
        <f>+'Bezeroen maileguak'!F33</f>
        <v>42573.133000000002</v>
      </c>
      <c r="G32" s="25">
        <f>+'Bezeroen maileguak'!G33</f>
        <v>42764.56</v>
      </c>
      <c r="H32" s="35">
        <f t="shared" ref="H32:H37" si="1">IF(ISERROR($F32/G32),"-",$F32/G32-1)</f>
        <v>-4.4763000016835308E-3</v>
      </c>
    </row>
    <row r="33" spans="2:8" x14ac:dyDescent="0.25">
      <c r="B33" s="21" t="s">
        <v>122</v>
      </c>
      <c r="C33" s="21"/>
      <c r="D33" s="21"/>
      <c r="E33" s="21"/>
      <c r="F33" s="22">
        <f>+'Bezeroen maileguak'!F34</f>
        <v>43685.809000000001</v>
      </c>
      <c r="G33" s="23">
        <f>+'Bezeroen maileguak'!G34</f>
        <v>44374.786</v>
      </c>
      <c r="H33" s="41">
        <f t="shared" si="1"/>
        <v>-1.5526317129732181E-2</v>
      </c>
    </row>
    <row r="34" spans="2:8" x14ac:dyDescent="0.25">
      <c r="B34" s="19" t="s">
        <v>127</v>
      </c>
      <c r="C34" s="19"/>
      <c r="D34" s="19"/>
      <c r="E34" s="19"/>
      <c r="F34" s="20">
        <f t="shared" ref="F34:F38" si="2">+F17</f>
        <v>2963.788</v>
      </c>
      <c r="G34" s="25">
        <v>3179.12</v>
      </c>
      <c r="H34" s="35">
        <f t="shared" si="1"/>
        <v>-6.7733209189964505E-2</v>
      </c>
    </row>
    <row r="35" spans="2:8" x14ac:dyDescent="0.25">
      <c r="B35" s="5" t="s">
        <v>128</v>
      </c>
      <c r="C35" s="5"/>
      <c r="D35" s="5"/>
      <c r="E35" s="5"/>
      <c r="F35" s="70">
        <f t="shared" si="2"/>
        <v>6.784326690619373E-2</v>
      </c>
      <c r="G35" s="71">
        <f>+G34/G33</f>
        <v>7.1642486343483427E-2</v>
      </c>
      <c r="H35" s="72" t="str">
        <f>IF(ISERROR($F35-G35),"-",CONCATENATE((FIXED($F35-G35,4)*10000)," op"))</f>
        <v>-38 op</v>
      </c>
    </row>
    <row r="36" spans="2:8" x14ac:dyDescent="0.25">
      <c r="B36" s="19" t="s">
        <v>129</v>
      </c>
      <c r="C36" s="19"/>
      <c r="D36" s="19"/>
      <c r="E36" s="19"/>
      <c r="F36" s="20">
        <f t="shared" si="2"/>
        <v>3006.2840000000001</v>
      </c>
      <c r="G36" s="25">
        <v>3225.2</v>
      </c>
      <c r="H36" s="35">
        <f t="shared" si="1"/>
        <v>-6.7876720823514702E-2</v>
      </c>
    </row>
    <row r="37" spans="2:8" x14ac:dyDescent="0.25">
      <c r="B37" s="19" t="s">
        <v>102</v>
      </c>
      <c r="C37" s="19"/>
      <c r="D37" s="19"/>
      <c r="E37" s="19"/>
      <c r="F37" s="20">
        <f t="shared" si="2"/>
        <v>1447.414</v>
      </c>
      <c r="G37" s="25">
        <v>1657.518</v>
      </c>
      <c r="H37" s="35">
        <f t="shared" si="1"/>
        <v>-0.12675820111757463</v>
      </c>
    </row>
    <row r="38" spans="2:8" x14ac:dyDescent="0.25">
      <c r="B38" s="5" t="s">
        <v>130</v>
      </c>
      <c r="C38" s="5"/>
      <c r="D38" s="5"/>
      <c r="E38" s="5"/>
      <c r="F38" s="70">
        <f t="shared" si="2"/>
        <v>0.48146282919378208</v>
      </c>
      <c r="G38" s="71">
        <f>+G37/G36</f>
        <v>0.51392719831328293</v>
      </c>
      <c r="H38" s="72" t="str">
        <f>IF(ISERROR($F38-G38),"-",CONCATENATE((FIXED($F38-G38,4)*10000)," op"))</f>
        <v>-325 op</v>
      </c>
    </row>
    <row r="39" spans="2:8" x14ac:dyDescent="0.25">
      <c r="B39" s="5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  <row r="63" spans="2:8" x14ac:dyDescent="0.25">
      <c r="B63" s="5"/>
      <c r="C63" s="5"/>
      <c r="D63" s="5"/>
      <c r="E63" s="5"/>
      <c r="F63" s="37"/>
      <c r="G63" s="37"/>
      <c r="H63" s="38"/>
    </row>
    <row r="64" spans="2:8" x14ac:dyDescent="0.25">
      <c r="B64" s="5"/>
      <c r="C64" s="5"/>
      <c r="D64" s="5"/>
      <c r="E64" s="5"/>
      <c r="F64" s="37"/>
      <c r="G64" s="37"/>
      <c r="H64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131</v>
      </c>
    </row>
    <row r="12" spans="2:8" ht="17.25" x14ac:dyDescent="0.3">
      <c r="B12" s="6" t="s">
        <v>13</v>
      </c>
      <c r="G12" s="4"/>
    </row>
    <row r="13" spans="2:8" x14ac:dyDescent="0.25">
      <c r="B13" s="74" t="s">
        <v>14</v>
      </c>
      <c r="G13" s="4"/>
    </row>
    <row r="14" spans="2:8" x14ac:dyDescent="0.25">
      <c r="B14" s="7"/>
      <c r="C14" s="7"/>
      <c r="D14" s="7"/>
      <c r="E14" s="7"/>
      <c r="F14" s="8" t="s">
        <v>10</v>
      </c>
      <c r="G14" s="9" t="s">
        <v>30</v>
      </c>
      <c r="H14" s="9" t="s">
        <v>29</v>
      </c>
    </row>
    <row r="15" spans="2:8" x14ac:dyDescent="0.25">
      <c r="B15" s="21" t="s">
        <v>132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133</v>
      </c>
      <c r="C16" s="21"/>
      <c r="D16" s="21"/>
      <c r="E16" s="21"/>
      <c r="F16" s="22">
        <v>2666.422</v>
      </c>
      <c r="G16" s="23">
        <v>2558.0160000000001</v>
      </c>
      <c r="H16" s="41">
        <f t="shared" si="0"/>
        <v>4.2378937426505559E-2</v>
      </c>
    </row>
    <row r="17" spans="2:8" x14ac:dyDescent="0.25">
      <c r="B17" s="21" t="s">
        <v>134</v>
      </c>
      <c r="C17" s="21"/>
      <c r="D17" s="21"/>
      <c r="E17" s="21"/>
      <c r="F17" s="22">
        <v>122.124</v>
      </c>
      <c r="G17" s="23">
        <v>109.39100000000001</v>
      </c>
      <c r="H17" s="41">
        <f t="shared" si="0"/>
        <v>0.11639897249316666</v>
      </c>
    </row>
    <row r="18" spans="2:8" x14ac:dyDescent="0.25">
      <c r="B18" s="21" t="s">
        <v>135</v>
      </c>
      <c r="C18" s="21"/>
      <c r="D18" s="21"/>
      <c r="E18" s="21"/>
      <c r="F18" s="22">
        <v>4.9059999999999997</v>
      </c>
      <c r="G18" s="23">
        <v>5.3310000000000004</v>
      </c>
      <c r="H18" s="41">
        <f t="shared" si="0"/>
        <v>-7.9722378540611594E-2</v>
      </c>
    </row>
    <row r="19" spans="2:8" x14ac:dyDescent="0.25">
      <c r="B19" s="21" t="s">
        <v>107</v>
      </c>
      <c r="C19" s="21"/>
      <c r="D19" s="21"/>
      <c r="E19" s="21"/>
      <c r="F19" s="22">
        <v>282.28459999999995</v>
      </c>
      <c r="G19" s="23">
        <v>157.75360000000003</v>
      </c>
      <c r="H19" s="41">
        <f t="shared" si="0"/>
        <v>0.78940195342610187</v>
      </c>
    </row>
    <row r="20" spans="2:8" x14ac:dyDescent="0.25">
      <c r="B20" s="21" t="s">
        <v>91</v>
      </c>
      <c r="C20" s="21"/>
      <c r="D20" s="21"/>
      <c r="E20" s="21"/>
      <c r="F20" s="22">
        <v>-325.78899999999999</v>
      </c>
      <c r="G20" s="23">
        <v>-314.25299999999999</v>
      </c>
      <c r="H20" s="41">
        <f t="shared" si="0"/>
        <v>3.6709275647328843E-2</v>
      </c>
    </row>
    <row r="21" spans="2:8" x14ac:dyDescent="0.25">
      <c r="B21" s="21" t="s">
        <v>136</v>
      </c>
      <c r="C21" s="21"/>
      <c r="D21" s="21"/>
      <c r="E21" s="21"/>
      <c r="F21" s="22">
        <v>-197.23913438719626</v>
      </c>
      <c r="G21" s="23">
        <v>-54.375</v>
      </c>
      <c r="H21" s="41">
        <f t="shared" si="0"/>
        <v>2.6273863795346437</v>
      </c>
    </row>
    <row r="22" spans="2:8" x14ac:dyDescent="0.25">
      <c r="B22" s="5" t="s">
        <v>137</v>
      </c>
      <c r="C22" s="5"/>
      <c r="D22" s="5"/>
      <c r="E22" s="5"/>
      <c r="F22" s="17">
        <v>4612.7084656128036</v>
      </c>
      <c r="G22" s="37">
        <v>4521.8635999999997</v>
      </c>
      <c r="H22" s="38">
        <f t="shared" si="0"/>
        <v>2.0090138413906056E-2</v>
      </c>
    </row>
    <row r="23" spans="2:8" x14ac:dyDescent="0.25">
      <c r="B23" s="5" t="s">
        <v>138</v>
      </c>
      <c r="C23" s="5"/>
      <c r="D23" s="5"/>
      <c r="E23" s="5"/>
      <c r="F23" s="17">
        <v>4612.7084656128036</v>
      </c>
      <c r="G23" s="37">
        <v>4521.8635999999997</v>
      </c>
      <c r="H23" s="38">
        <f t="shared" si="0"/>
        <v>2.0090138413906056E-2</v>
      </c>
    </row>
    <row r="24" spans="2:8" x14ac:dyDescent="0.25">
      <c r="B24" s="5" t="s">
        <v>139</v>
      </c>
      <c r="C24" s="5"/>
      <c r="D24" s="5"/>
      <c r="E24" s="5"/>
      <c r="F24" s="17">
        <v>4612.7084656128036</v>
      </c>
      <c r="G24" s="37">
        <v>4553.6455999999998</v>
      </c>
      <c r="H24" s="38">
        <f t="shared" si="0"/>
        <v>1.297045725578716E-2</v>
      </c>
    </row>
    <row r="25" spans="2:8" x14ac:dyDescent="0.25">
      <c r="B25" s="5" t="s">
        <v>140</v>
      </c>
      <c r="C25" s="5"/>
      <c r="D25" s="5"/>
      <c r="E25" s="5"/>
      <c r="F25" s="17">
        <v>30352.742730274837</v>
      </c>
      <c r="G25" s="37">
        <v>30959.757997125416</v>
      </c>
      <c r="H25" s="38">
        <f t="shared" si="0"/>
        <v>-1.9606589525245632E-2</v>
      </c>
    </row>
    <row r="26" spans="2:8" ht="17.25" x14ac:dyDescent="0.3">
      <c r="B26" s="6" t="s">
        <v>141</v>
      </c>
      <c r="C26" s="6"/>
      <c r="D26" s="6"/>
      <c r="E26" s="6"/>
      <c r="F26" s="42">
        <f>+F22/F25</f>
        <v>0.151970070929107</v>
      </c>
      <c r="G26" s="43">
        <f>+G22/G25</f>
        <v>0.14605616750686004</v>
      </c>
      <c r="H26" s="44" t="str">
        <f>IF(ISERROR($F26-G26),"-",CONCATENATE((FIXED($F26-G26,4)*10000)," op"))</f>
        <v>59 op</v>
      </c>
    </row>
    <row r="27" spans="2:8" ht="17.25" x14ac:dyDescent="0.3">
      <c r="B27" s="6" t="s">
        <v>142</v>
      </c>
      <c r="C27" s="6"/>
      <c r="D27" s="6"/>
      <c r="E27" s="6"/>
      <c r="F27" s="42">
        <f>+F23/F25</f>
        <v>0.151970070929107</v>
      </c>
      <c r="G27" s="43">
        <f>+G23/G25</f>
        <v>0.14605616750686004</v>
      </c>
      <c r="H27" s="44" t="str">
        <f t="shared" ref="H27:H29" si="1">IF(ISERROR($F27-G27),"-",CONCATENATE((FIXED($F27-G27,4)*10000)," op"))</f>
        <v>59 op</v>
      </c>
    </row>
    <row r="28" spans="2:8" ht="17.25" x14ac:dyDescent="0.3">
      <c r="B28" s="6" t="s">
        <v>38</v>
      </c>
      <c r="C28" s="6"/>
      <c r="D28" s="6"/>
      <c r="E28" s="6"/>
      <c r="F28" s="42">
        <f>+F24/F25</f>
        <v>0.151970070929107</v>
      </c>
      <c r="G28" s="43">
        <f>+G24/G25</f>
        <v>0.14708272591868454</v>
      </c>
      <c r="H28" s="44" t="str">
        <f t="shared" si="1"/>
        <v>49 op</v>
      </c>
    </row>
    <row r="29" spans="2:8" ht="17.25" x14ac:dyDescent="0.3">
      <c r="B29" s="6" t="s">
        <v>39</v>
      </c>
      <c r="C29" s="6"/>
      <c r="D29" s="6"/>
      <c r="E29" s="6"/>
      <c r="F29" s="42">
        <v>8.0883195637725905E-2</v>
      </c>
      <c r="G29" s="43">
        <v>7.7066761533700359E-2</v>
      </c>
      <c r="H29" s="44" t="str">
        <f t="shared" si="1"/>
        <v>38 op</v>
      </c>
    </row>
    <row r="30" spans="2:8" x14ac:dyDescent="0.25">
      <c r="B30" s="50" t="s">
        <v>7</v>
      </c>
      <c r="C30" s="21"/>
      <c r="D30" s="21"/>
      <c r="E30" s="21"/>
      <c r="F30" s="51"/>
      <c r="G30" s="21"/>
      <c r="H30" s="52"/>
    </row>
    <row r="31" spans="2:8" x14ac:dyDescent="0.25">
      <c r="B31" s="53" t="s">
        <v>143</v>
      </c>
      <c r="C31" s="54"/>
      <c r="D31" s="54"/>
      <c r="E31" s="54"/>
      <c r="F31" s="55">
        <v>0.14843495096854686</v>
      </c>
      <c r="G31" s="56">
        <v>0.14263095360659875</v>
      </c>
      <c r="H31" s="57" t="str">
        <f>IF(ISERROR($F31-G31),"-",CONCATENATE((FIXED($F31-G31,4)*10000)," op"))</f>
        <v>58 op</v>
      </c>
    </row>
    <row r="32" spans="2:8" x14ac:dyDescent="0.25">
      <c r="B32" s="50" t="s">
        <v>144</v>
      </c>
      <c r="C32" s="21"/>
      <c r="D32" s="21"/>
      <c r="E32" s="21"/>
      <c r="F32" s="58">
        <v>0.14843495096854686</v>
      </c>
      <c r="G32" s="59">
        <v>0.14364604710998813</v>
      </c>
      <c r="H32" s="60" t="str">
        <f>IF(ISERROR($F32-G32),"-",CONCATENATE((FIXED($F32-G32,4)*10000)," op"))</f>
        <v>48 op</v>
      </c>
    </row>
    <row r="33" spans="2:8" x14ac:dyDescent="0.25">
      <c r="B33" s="50" t="s">
        <v>145</v>
      </c>
      <c r="C33" s="21"/>
      <c r="D33" s="21"/>
      <c r="E33" s="21"/>
      <c r="F33" s="58">
        <v>7.9698663620372395E-2</v>
      </c>
      <c r="G33" s="59">
        <v>7.6173853878038739E-2</v>
      </c>
      <c r="H33" s="60" t="str">
        <f>IF(ISERROR($F33-G33),"-",CONCATENATE((FIXED($F33-G33,4)*10000)," op"))</f>
        <v>35 op</v>
      </c>
    </row>
    <row r="34" spans="2:8" x14ac:dyDescent="0.25">
      <c r="B34" s="50"/>
      <c r="C34" s="21"/>
      <c r="D34" s="21"/>
      <c r="E34" s="21"/>
      <c r="F34" s="59"/>
      <c r="G34" s="59"/>
      <c r="H34" s="60"/>
    </row>
    <row r="35" spans="2:8" x14ac:dyDescent="0.25">
      <c r="B35" s="68"/>
      <c r="C35" s="21"/>
      <c r="D35" s="21"/>
      <c r="E35" s="21"/>
      <c r="F35" s="59"/>
      <c r="G35" s="59"/>
      <c r="H35" s="60"/>
    </row>
    <row r="36" spans="2:8" x14ac:dyDescent="0.25">
      <c r="B36" s="50"/>
      <c r="C36" s="21"/>
      <c r="D36" s="21"/>
      <c r="E36" s="21"/>
      <c r="F36" s="59"/>
      <c r="G36" s="59"/>
      <c r="H36" s="60"/>
    </row>
    <row r="40" spans="2:8" ht="17.25" x14ac:dyDescent="0.3">
      <c r="B40" s="6" t="s">
        <v>31</v>
      </c>
      <c r="G40" s="4"/>
    </row>
    <row r="41" spans="2:8" x14ac:dyDescent="0.25">
      <c r="B41" s="74" t="s">
        <v>14</v>
      </c>
      <c r="G41" s="4"/>
    </row>
    <row r="42" spans="2:8" ht="17.25" x14ac:dyDescent="0.25">
      <c r="B42" s="7"/>
      <c r="C42" s="7"/>
      <c r="D42" s="7"/>
      <c r="E42" s="7"/>
      <c r="F42" s="8" t="s">
        <v>10</v>
      </c>
      <c r="G42" s="9" t="s">
        <v>147</v>
      </c>
      <c r="H42" s="9" t="s">
        <v>29</v>
      </c>
    </row>
    <row r="43" spans="2:8" x14ac:dyDescent="0.25">
      <c r="B43" s="21" t="s">
        <v>132</v>
      </c>
      <c r="C43" s="21"/>
      <c r="D43" s="21"/>
      <c r="E43" s="21"/>
      <c r="F43" s="22">
        <f t="shared" ref="F43:F57" si="2">+F15</f>
        <v>2060</v>
      </c>
      <c r="G43" s="23">
        <v>2060</v>
      </c>
      <c r="H43" s="41">
        <f t="shared" ref="H43:H53" si="3">IF(ISERROR($F43/G43),"-",$F43/G43-1)</f>
        <v>0</v>
      </c>
    </row>
    <row r="44" spans="2:8" x14ac:dyDescent="0.25">
      <c r="B44" s="21" t="s">
        <v>133</v>
      </c>
      <c r="C44" s="21"/>
      <c r="D44" s="21"/>
      <c r="E44" s="21"/>
      <c r="F44" s="22">
        <f t="shared" si="2"/>
        <v>2666.422</v>
      </c>
      <c r="G44" s="23">
        <v>2666.4180000000001</v>
      </c>
      <c r="H44" s="41">
        <f t="shared" si="3"/>
        <v>1.5001398880887251E-6</v>
      </c>
    </row>
    <row r="45" spans="2:8" x14ac:dyDescent="0.25">
      <c r="B45" s="21" t="s">
        <v>134</v>
      </c>
      <c r="C45" s="21"/>
      <c r="D45" s="21"/>
      <c r="E45" s="21"/>
      <c r="F45" s="22">
        <f t="shared" si="2"/>
        <v>122.124</v>
      </c>
      <c r="G45" s="23">
        <v>95.153000000000006</v>
      </c>
      <c r="H45" s="41">
        <f t="shared" si="3"/>
        <v>0.28344876146837183</v>
      </c>
    </row>
    <row r="46" spans="2:8" x14ac:dyDescent="0.25">
      <c r="B46" s="21" t="s">
        <v>135</v>
      </c>
      <c r="C46" s="21"/>
      <c r="D46" s="21"/>
      <c r="E46" s="21"/>
      <c r="F46" s="22">
        <f t="shared" si="2"/>
        <v>4.9059999999999997</v>
      </c>
      <c r="G46" s="23">
        <v>3.9420000000000002</v>
      </c>
      <c r="H46" s="41">
        <f t="shared" si="3"/>
        <v>0.24454591577879237</v>
      </c>
    </row>
    <row r="47" spans="2:8" x14ac:dyDescent="0.25">
      <c r="B47" s="21" t="s">
        <v>107</v>
      </c>
      <c r="C47" s="21"/>
      <c r="D47" s="21"/>
      <c r="E47" s="21"/>
      <c r="F47" s="22">
        <f t="shared" si="2"/>
        <v>282.28459999999995</v>
      </c>
      <c r="G47" s="23">
        <v>223.87700000000001</v>
      </c>
      <c r="H47" s="41">
        <f t="shared" si="3"/>
        <v>0.2608914716563111</v>
      </c>
    </row>
    <row r="48" spans="2:8" x14ac:dyDescent="0.25">
      <c r="B48" s="21" t="s">
        <v>91</v>
      </c>
      <c r="C48" s="21"/>
      <c r="D48" s="21"/>
      <c r="E48" s="21"/>
      <c r="F48" s="22">
        <f t="shared" si="2"/>
        <v>-325.78899999999999</v>
      </c>
      <c r="G48" s="23">
        <v>0</v>
      </c>
      <c r="H48" s="41" t="str">
        <f t="shared" si="3"/>
        <v>-</v>
      </c>
    </row>
    <row r="49" spans="2:8" x14ac:dyDescent="0.25">
      <c r="B49" s="21" t="s">
        <v>136</v>
      </c>
      <c r="C49" s="21"/>
      <c r="D49" s="21"/>
      <c r="E49" s="21"/>
      <c r="F49" s="22">
        <f t="shared" si="2"/>
        <v>-197.23913438719626</v>
      </c>
      <c r="G49" s="23">
        <v>-114.622</v>
      </c>
      <c r="H49" s="41">
        <f t="shared" si="3"/>
        <v>0.72077903358165329</v>
      </c>
    </row>
    <row r="50" spans="2:8" x14ac:dyDescent="0.25">
      <c r="B50" s="5" t="s">
        <v>137</v>
      </c>
      <c r="C50" s="5"/>
      <c r="D50" s="5"/>
      <c r="E50" s="5"/>
      <c r="F50" s="17">
        <f t="shared" si="2"/>
        <v>4612.7084656128036</v>
      </c>
      <c r="G50" s="37">
        <v>4610.3289999999997</v>
      </c>
      <c r="H50" s="38">
        <f t="shared" si="3"/>
        <v>5.1611622788816369E-4</v>
      </c>
    </row>
    <row r="51" spans="2:8" x14ac:dyDescent="0.25">
      <c r="B51" s="5" t="s">
        <v>138</v>
      </c>
      <c r="C51" s="5"/>
      <c r="D51" s="5"/>
      <c r="E51" s="5"/>
      <c r="F51" s="17">
        <f t="shared" si="2"/>
        <v>4612.7084656128036</v>
      </c>
      <c r="G51" s="37">
        <v>4610.3289999999997</v>
      </c>
      <c r="H51" s="38">
        <f t="shared" si="3"/>
        <v>5.1611622788816369E-4</v>
      </c>
    </row>
    <row r="52" spans="2:8" x14ac:dyDescent="0.25">
      <c r="B52" s="5" t="s">
        <v>139</v>
      </c>
      <c r="C52" s="5"/>
      <c r="D52" s="5"/>
      <c r="E52" s="5"/>
      <c r="F52" s="17">
        <f t="shared" si="2"/>
        <v>4612.7084656128036</v>
      </c>
      <c r="G52" s="37">
        <v>4643.0169999999998</v>
      </c>
      <c r="H52" s="38">
        <f t="shared" si="3"/>
        <v>-6.5277672658092811E-3</v>
      </c>
    </row>
    <row r="53" spans="2:8" x14ac:dyDescent="0.25">
      <c r="B53" s="5" t="s">
        <v>140</v>
      </c>
      <c r="C53" s="5"/>
      <c r="D53" s="5"/>
      <c r="E53" s="5"/>
      <c r="F53" s="17">
        <f t="shared" si="2"/>
        <v>30352.742730274837</v>
      </c>
      <c r="G53" s="37">
        <v>30664.060319861739</v>
      </c>
      <c r="H53" s="38">
        <f t="shared" si="3"/>
        <v>-1.0152523388602175E-2</v>
      </c>
    </row>
    <row r="54" spans="2:8" ht="17.25" x14ac:dyDescent="0.3">
      <c r="B54" s="6" t="s">
        <v>141</v>
      </c>
      <c r="C54" s="6"/>
      <c r="D54" s="6"/>
      <c r="E54" s="6"/>
      <c r="F54" s="42">
        <f t="shared" si="2"/>
        <v>0.151970070929107</v>
      </c>
      <c r="G54" s="43">
        <f>+G50/G53</f>
        <v>0.15034959336463982</v>
      </c>
      <c r="H54" s="44" t="str">
        <f>IF(ISERROR($F54-G54),"-",CONCATENATE((FIXED($F54-G54,4)*10000)," op"))</f>
        <v>16 op</v>
      </c>
    </row>
    <row r="55" spans="2:8" ht="17.25" x14ac:dyDescent="0.3">
      <c r="B55" s="6" t="s">
        <v>142</v>
      </c>
      <c r="C55" s="6"/>
      <c r="D55" s="6"/>
      <c r="E55" s="6"/>
      <c r="F55" s="42">
        <f t="shared" si="2"/>
        <v>0.151970070929107</v>
      </c>
      <c r="G55" s="43">
        <f>+G51/G53</f>
        <v>0.15034959336463982</v>
      </c>
      <c r="H55" s="44" t="str">
        <f t="shared" ref="H55:H57" si="4">IF(ISERROR($F55-G55),"-",CONCATENATE((FIXED($F55-G55,4)*10000)," op"))</f>
        <v>16 op</v>
      </c>
    </row>
    <row r="56" spans="2:8" ht="17.25" x14ac:dyDescent="0.3">
      <c r="B56" s="6" t="s">
        <v>38</v>
      </c>
      <c r="C56" s="6"/>
      <c r="D56" s="6"/>
      <c r="E56" s="6"/>
      <c r="F56" s="42">
        <f t="shared" si="2"/>
        <v>0.151970070929107</v>
      </c>
      <c r="G56" s="43">
        <f>+G52/G53</f>
        <v>0.151415597007309</v>
      </c>
      <c r="H56" s="44" t="str">
        <f t="shared" si="4"/>
        <v>6 op</v>
      </c>
    </row>
    <row r="57" spans="2:8" ht="17.25" x14ac:dyDescent="0.3">
      <c r="B57" s="6" t="s">
        <v>39</v>
      </c>
      <c r="C57" s="6"/>
      <c r="D57" s="6"/>
      <c r="E57" s="6"/>
      <c r="F57" s="42">
        <f t="shared" si="2"/>
        <v>8.0883195637725905E-2</v>
      </c>
      <c r="G57" s="43">
        <v>8.0477470496019415E-2</v>
      </c>
      <c r="H57" s="44" t="str">
        <f t="shared" si="4"/>
        <v>4 op</v>
      </c>
    </row>
    <row r="58" spans="2:8" x14ac:dyDescent="0.25">
      <c r="B58" s="50" t="s">
        <v>7</v>
      </c>
      <c r="C58" s="21"/>
      <c r="D58" s="21"/>
      <c r="E58" s="21"/>
      <c r="F58" s="51"/>
      <c r="G58" s="21"/>
      <c r="H58" s="52"/>
    </row>
    <row r="59" spans="2:8" x14ac:dyDescent="0.25">
      <c r="B59" s="53" t="s">
        <v>143</v>
      </c>
      <c r="C59" s="54"/>
      <c r="D59" s="54"/>
      <c r="E59" s="54"/>
      <c r="F59" s="55">
        <f t="shared" ref="F59:F61" si="5">+F31</f>
        <v>0.14843495096854686</v>
      </c>
      <c r="G59" s="56">
        <v>0.14563704164895933</v>
      </c>
      <c r="H59" s="57" t="str">
        <f>IF(ISERROR($F59-G59),"-",CONCATENATE((FIXED($F59-G59,4)*10000)," op"))</f>
        <v>28 op</v>
      </c>
    </row>
    <row r="60" spans="2:8" x14ac:dyDescent="0.25">
      <c r="B60" s="50" t="s">
        <v>144</v>
      </c>
      <c r="C60" s="21"/>
      <c r="D60" s="21"/>
      <c r="E60" s="21"/>
      <c r="F60" s="58">
        <f t="shared" si="5"/>
        <v>0.14843495096854686</v>
      </c>
      <c r="G60" s="59">
        <v>0.14669575515337874</v>
      </c>
      <c r="H60" s="60" t="str">
        <f>IF(ISERROR($F60-G60),"-",CONCATENATE((FIXED($F60-G60,4)*10000)," op"))</f>
        <v>17 op</v>
      </c>
    </row>
    <row r="61" spans="2:8" x14ac:dyDescent="0.25">
      <c r="B61" s="50" t="s">
        <v>145</v>
      </c>
      <c r="C61" s="21"/>
      <c r="D61" s="21"/>
      <c r="E61" s="21"/>
      <c r="F61" s="58">
        <f t="shared" si="5"/>
        <v>7.9698663620372395E-2</v>
      </c>
      <c r="G61" s="59">
        <v>7.8633677974049909E-2</v>
      </c>
      <c r="H61" s="60" t="str">
        <f>IF(ISERROR($F61-G61),"-",CONCATENATE((FIXED($F61-G61,4)*10000)," op"))</f>
        <v>11 op</v>
      </c>
    </row>
    <row r="62" spans="2:8" x14ac:dyDescent="0.25">
      <c r="B62" s="50"/>
      <c r="C62" s="21"/>
      <c r="D62" s="21"/>
      <c r="E62" s="21"/>
      <c r="F62" s="59"/>
      <c r="G62" s="59"/>
      <c r="H62" s="60"/>
    </row>
    <row r="63" spans="2:8" ht="17.25" x14ac:dyDescent="0.25">
      <c r="B63" s="68" t="s">
        <v>146</v>
      </c>
      <c r="C63" s="21"/>
      <c r="D63" s="21"/>
      <c r="E63" s="21"/>
      <c r="F63" s="59"/>
      <c r="G63" s="59"/>
      <c r="H63" s="60"/>
    </row>
    <row r="64" spans="2:8" x14ac:dyDescent="0.25">
      <c r="B64" s="50"/>
      <c r="C64" s="21"/>
      <c r="D64" s="21"/>
      <c r="E64" s="21"/>
      <c r="F64" s="59"/>
      <c r="G64" s="59"/>
      <c r="H64" s="60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12</v>
      </c>
    </row>
    <row r="12" spans="2:7" ht="17.25" x14ac:dyDescent="0.3">
      <c r="B12" s="6" t="s">
        <v>13</v>
      </c>
      <c r="F12" s="4"/>
    </row>
    <row r="13" spans="2:7" x14ac:dyDescent="0.25">
      <c r="B13" s="74" t="s">
        <v>14</v>
      </c>
      <c r="F13" s="4"/>
    </row>
    <row r="14" spans="2:7" x14ac:dyDescent="0.25">
      <c r="B14" s="7"/>
      <c r="C14" s="7"/>
      <c r="D14" s="7"/>
      <c r="E14" s="8" t="s">
        <v>10</v>
      </c>
      <c r="F14" s="9" t="s">
        <v>30</v>
      </c>
      <c r="G14" s="9" t="s">
        <v>29</v>
      </c>
    </row>
    <row r="15" spans="2:7" s="5" customFormat="1" x14ac:dyDescent="0.25">
      <c r="B15" s="61" t="s">
        <v>15</v>
      </c>
      <c r="C15" s="61"/>
      <c r="D15" s="61"/>
      <c r="E15" s="47">
        <f>+Balantzea!F38</f>
        <v>56515.915999999997</v>
      </c>
      <c r="F15" s="45">
        <f>+Balantzea!G38</f>
        <v>58375.671999999999</v>
      </c>
      <c r="G15" s="38">
        <f t="shared" ref="G15:G28" si="0">IF(ISERROR($E15/F15),"-",$E15/F15-1)</f>
        <v>-3.1858408413696693E-2</v>
      </c>
    </row>
    <row r="16" spans="2:7" x14ac:dyDescent="0.25">
      <c r="B16" s="1" t="s">
        <v>16</v>
      </c>
      <c r="C16" s="19"/>
      <c r="D16" s="19"/>
      <c r="E16" s="48">
        <f>+Balantzea!F22+Balantzea!F25</f>
        <v>3058.5769999999998</v>
      </c>
      <c r="F16" s="28">
        <f>+Balantzea!$G$22+Balantzea!$G$25</f>
        <v>3902.442</v>
      </c>
      <c r="G16" s="29">
        <f t="shared" si="0"/>
        <v>-0.21624024136681597</v>
      </c>
    </row>
    <row r="17" spans="2:7" x14ac:dyDescent="0.25">
      <c r="B17" s="1" t="s">
        <v>17</v>
      </c>
      <c r="E17" s="48">
        <f>+Balantzea!F24</f>
        <v>2206.6579999999999</v>
      </c>
      <c r="F17" s="28">
        <f>+Balantzea!$G$24</f>
        <v>2394.6689999999999</v>
      </c>
      <c r="G17" s="29">
        <f t="shared" si="0"/>
        <v>-7.8512312140007645E-2</v>
      </c>
    </row>
    <row r="18" spans="2:7" x14ac:dyDescent="0.25">
      <c r="B18" s="1" t="s">
        <v>18</v>
      </c>
      <c r="E18" s="48">
        <f>+Balantzea!F32</f>
        <v>503.11799999999999</v>
      </c>
      <c r="F18" s="28">
        <f>+Balantzea!$G$32</f>
        <v>499.29700000000003</v>
      </c>
      <c r="G18" s="29">
        <f t="shared" si="0"/>
        <v>7.6527597802509284E-3</v>
      </c>
    </row>
    <row r="19" spans="2:7" s="5" customFormat="1" x14ac:dyDescent="0.25">
      <c r="B19" s="5" t="s">
        <v>19</v>
      </c>
      <c r="E19" s="47">
        <f>+Balantzea!F28</f>
        <v>42573.133000000002</v>
      </c>
      <c r="F19" s="45">
        <f>+Balantzea!$G$28</f>
        <v>42821.17</v>
      </c>
      <c r="G19" s="38">
        <f t="shared" si="0"/>
        <v>-5.7923919407152358E-3</v>
      </c>
    </row>
    <row r="20" spans="2:7" x14ac:dyDescent="0.25">
      <c r="B20" s="1" t="s">
        <v>20</v>
      </c>
      <c r="E20" s="48">
        <v>4035.0990000000002</v>
      </c>
      <c r="F20" s="28">
        <v>4857.3869999999997</v>
      </c>
      <c r="G20" s="29">
        <f t="shared" si="0"/>
        <v>-0.16928607912031712</v>
      </c>
    </row>
    <row r="21" spans="2:7" s="21" customFormat="1" x14ac:dyDescent="0.25">
      <c r="B21" s="21" t="s">
        <v>21</v>
      </c>
      <c r="E21" s="22">
        <v>0</v>
      </c>
      <c r="F21" s="23">
        <v>40.01958621</v>
      </c>
      <c r="G21" s="66">
        <f t="shared" si="0"/>
        <v>-1</v>
      </c>
    </row>
    <row r="22" spans="2:7" x14ac:dyDescent="0.25">
      <c r="B22" s="5" t="s">
        <v>22</v>
      </c>
      <c r="C22" s="5"/>
      <c r="D22" s="5"/>
      <c r="E22" s="47">
        <v>41227.453000000001</v>
      </c>
      <c r="F22" s="45">
        <f>+Balantzea!$G$43</f>
        <v>42235.576000000001</v>
      </c>
      <c r="G22" s="38">
        <f t="shared" si="0"/>
        <v>-2.3869048216602962E-2</v>
      </c>
    </row>
    <row r="23" spans="2:7" s="5" customFormat="1" x14ac:dyDescent="0.25">
      <c r="B23" s="21" t="s">
        <v>23</v>
      </c>
      <c r="C23" s="21"/>
      <c r="D23" s="21"/>
      <c r="E23" s="49">
        <v>2353.3449286899995</v>
      </c>
      <c r="F23" s="46">
        <v>4306.8124246999996</v>
      </c>
      <c r="G23" s="41">
        <f t="shared" si="0"/>
        <v>-0.45357617267161876</v>
      </c>
    </row>
    <row r="24" spans="2:7" x14ac:dyDescent="0.25">
      <c r="B24" s="54" t="s">
        <v>24</v>
      </c>
      <c r="C24" s="54"/>
      <c r="D24" s="54"/>
      <c r="E24" s="62">
        <f>+E22-E23</f>
        <v>38874.108071310002</v>
      </c>
      <c r="F24" s="63">
        <f>+F22-F23</f>
        <v>37928.7635753</v>
      </c>
      <c r="G24" s="64">
        <f t="shared" si="0"/>
        <v>2.492421072817752E-2</v>
      </c>
    </row>
    <row r="25" spans="2:7" s="19" customFormat="1" x14ac:dyDescent="0.25">
      <c r="B25" s="1" t="s">
        <v>25</v>
      </c>
      <c r="C25" s="1"/>
      <c r="D25" s="1"/>
      <c r="E25" s="48">
        <v>17886.114987289995</v>
      </c>
      <c r="F25" s="28">
        <v>16819.046999999999</v>
      </c>
      <c r="G25" s="29">
        <f t="shared" si="0"/>
        <v>6.3444021964502273E-2</v>
      </c>
    </row>
    <row r="26" spans="2:7" x14ac:dyDescent="0.25">
      <c r="B26" s="5" t="s">
        <v>26</v>
      </c>
      <c r="C26" s="5"/>
      <c r="D26" s="5"/>
      <c r="E26" s="47">
        <f>+E24+E25</f>
        <v>56760.223058599993</v>
      </c>
      <c r="F26" s="45">
        <f>+F24+F25</f>
        <v>54747.810575299998</v>
      </c>
      <c r="G26" s="38">
        <f t="shared" si="0"/>
        <v>3.6757862317290835E-2</v>
      </c>
    </row>
    <row r="27" spans="2:7" s="5" customFormat="1" x14ac:dyDescent="0.25">
      <c r="B27" s="1" t="s">
        <v>27</v>
      </c>
      <c r="C27" s="1"/>
      <c r="D27" s="1"/>
      <c r="E27" s="48">
        <v>100321.2350586</v>
      </c>
      <c r="F27" s="28">
        <v>99566.745575299996</v>
      </c>
      <c r="G27" s="29">
        <f t="shared" si="0"/>
        <v>7.5777256647340252E-3</v>
      </c>
    </row>
    <row r="28" spans="2:7" x14ac:dyDescent="0.25">
      <c r="B28" s="5" t="s">
        <v>28</v>
      </c>
      <c r="C28" s="5"/>
      <c r="D28" s="5"/>
      <c r="E28" s="47">
        <f>+Balantzea!F52</f>
        <v>4875.5159999999996</v>
      </c>
      <c r="F28" s="45">
        <f>+Balantzea!$G$52</f>
        <v>4757.9840000000004</v>
      </c>
      <c r="G28" s="38">
        <f t="shared" si="0"/>
        <v>2.470205868704034E-2</v>
      </c>
    </row>
    <row r="34" spans="2:7" ht="17.25" x14ac:dyDescent="0.3">
      <c r="B34" s="6" t="s">
        <v>31</v>
      </c>
      <c r="F34" s="4"/>
    </row>
    <row r="35" spans="2:7" x14ac:dyDescent="0.25">
      <c r="B35" s="74" t="s">
        <v>14</v>
      </c>
      <c r="F35" s="4"/>
    </row>
    <row r="36" spans="2:7" x14ac:dyDescent="0.25">
      <c r="B36" s="7"/>
      <c r="C36" s="7"/>
      <c r="D36" s="7"/>
      <c r="E36" s="8" t="s">
        <v>10</v>
      </c>
      <c r="F36" s="9" t="s">
        <v>32</v>
      </c>
      <c r="G36" s="9" t="s">
        <v>29</v>
      </c>
    </row>
    <row r="37" spans="2:7" x14ac:dyDescent="0.25">
      <c r="B37" s="61" t="s">
        <v>15</v>
      </c>
      <c r="C37" s="61"/>
      <c r="D37" s="61"/>
      <c r="E37" s="47">
        <f t="shared" ref="E37:E50" si="1">+E15</f>
        <v>56515.915999999997</v>
      </c>
      <c r="F37" s="45">
        <f>+Balantzea!I38</f>
        <v>56602.361999999986</v>
      </c>
      <c r="G37" s="38">
        <f t="shared" ref="G37:G50" si="2">IF(ISERROR($E37/F37),"-",$E37/F37-1)</f>
        <v>-1.5272507532457791E-3</v>
      </c>
    </row>
    <row r="38" spans="2:7" x14ac:dyDescent="0.25">
      <c r="B38" s="1" t="s">
        <v>16</v>
      </c>
      <c r="C38" s="19"/>
      <c r="D38" s="19"/>
      <c r="E38" s="48">
        <f t="shared" si="1"/>
        <v>3058.5769999999998</v>
      </c>
      <c r="F38" s="28">
        <f>+Balantzea!$I$22+Balantzea!$I$25</f>
        <v>3973.0920000000001</v>
      </c>
      <c r="G38" s="29">
        <f t="shared" si="2"/>
        <v>-0.2301771516994825</v>
      </c>
    </row>
    <row r="39" spans="2:7" x14ac:dyDescent="0.25">
      <c r="B39" s="1" t="s">
        <v>17</v>
      </c>
      <c r="E39" s="48">
        <f t="shared" si="1"/>
        <v>2206.6579999999999</v>
      </c>
      <c r="F39" s="28">
        <f>+Balantzea!$I$24</f>
        <v>2246.0500000000002</v>
      </c>
      <c r="G39" s="29">
        <f t="shared" si="2"/>
        <v>-1.7538345094721963E-2</v>
      </c>
    </row>
    <row r="40" spans="2:7" x14ac:dyDescent="0.25">
      <c r="B40" s="1" t="s">
        <v>18</v>
      </c>
      <c r="E40" s="48">
        <f t="shared" si="1"/>
        <v>503.11799999999999</v>
      </c>
      <c r="F40" s="28">
        <f>+Balantzea!$I$32</f>
        <v>518.67899999999997</v>
      </c>
      <c r="G40" s="29">
        <f t="shared" si="2"/>
        <v>-3.0001214624073791E-2</v>
      </c>
    </row>
    <row r="41" spans="2:7" x14ac:dyDescent="0.25">
      <c r="B41" s="5" t="s">
        <v>19</v>
      </c>
      <c r="C41" s="5"/>
      <c r="D41" s="5"/>
      <c r="E41" s="47">
        <f t="shared" si="1"/>
        <v>42573.133000000002</v>
      </c>
      <c r="F41" s="45">
        <f>+Balantzea!$I$28</f>
        <v>42764.56</v>
      </c>
      <c r="G41" s="38">
        <f t="shared" si="2"/>
        <v>-4.4763000016835308E-3</v>
      </c>
    </row>
    <row r="42" spans="2:7" x14ac:dyDescent="0.25">
      <c r="B42" s="1" t="s">
        <v>20</v>
      </c>
      <c r="E42" s="48">
        <f t="shared" si="1"/>
        <v>4035.0990000000002</v>
      </c>
      <c r="F42" s="28">
        <v>4058.91</v>
      </c>
      <c r="G42" s="29">
        <f t="shared" si="2"/>
        <v>-5.866353282038661E-3</v>
      </c>
    </row>
    <row r="43" spans="2:7" s="21" customFormat="1" x14ac:dyDescent="0.25">
      <c r="B43" s="21" t="s">
        <v>21</v>
      </c>
      <c r="E43" s="22">
        <f t="shared" si="1"/>
        <v>0</v>
      </c>
      <c r="F43" s="23">
        <v>40.024999999999999</v>
      </c>
      <c r="G43" s="66">
        <f t="shared" si="2"/>
        <v>-1</v>
      </c>
    </row>
    <row r="44" spans="2:7" x14ac:dyDescent="0.25">
      <c r="B44" s="5" t="s">
        <v>22</v>
      </c>
      <c r="C44" s="5"/>
      <c r="D44" s="5"/>
      <c r="E44" s="47">
        <f t="shared" si="1"/>
        <v>41227.453000000001</v>
      </c>
      <c r="F44" s="45">
        <f>+Balantzea!$I$43</f>
        <v>40759.451999999997</v>
      </c>
      <c r="G44" s="38">
        <f t="shared" si="2"/>
        <v>1.1482023850566181E-2</v>
      </c>
    </row>
    <row r="45" spans="2:7" x14ac:dyDescent="0.25">
      <c r="B45" s="21" t="s">
        <v>23</v>
      </c>
      <c r="C45" s="21"/>
      <c r="D45" s="21"/>
      <c r="E45" s="49">
        <f t="shared" si="1"/>
        <v>2353.3449286899995</v>
      </c>
      <c r="F45" s="46">
        <v>3325.1984733799995</v>
      </c>
      <c r="G45" s="41">
        <f t="shared" si="2"/>
        <v>-0.29226933443829284</v>
      </c>
    </row>
    <row r="46" spans="2:7" x14ac:dyDescent="0.25">
      <c r="B46" s="54" t="s">
        <v>24</v>
      </c>
      <c r="C46" s="54"/>
      <c r="D46" s="54"/>
      <c r="E46" s="62">
        <f t="shared" si="1"/>
        <v>38874.108071310002</v>
      </c>
      <c r="F46" s="63">
        <f>+F44-F45</f>
        <v>37434.253526619999</v>
      </c>
      <c r="G46" s="64">
        <f t="shared" si="2"/>
        <v>3.8463557011123584E-2</v>
      </c>
    </row>
    <row r="47" spans="2:7" x14ac:dyDescent="0.25">
      <c r="B47" s="1" t="s">
        <v>25</v>
      </c>
      <c r="E47" s="48">
        <f t="shared" si="1"/>
        <v>17886.114987289995</v>
      </c>
      <c r="F47" s="28">
        <v>17817.915439289995</v>
      </c>
      <c r="G47" s="29">
        <f t="shared" si="2"/>
        <v>3.8275828747966756E-3</v>
      </c>
    </row>
    <row r="48" spans="2:7" x14ac:dyDescent="0.25">
      <c r="B48" s="5" t="s">
        <v>26</v>
      </c>
      <c r="C48" s="5"/>
      <c r="D48" s="5"/>
      <c r="E48" s="47">
        <f t="shared" si="1"/>
        <v>56760.223058599993</v>
      </c>
      <c r="F48" s="45">
        <f>+F46+F47</f>
        <v>55252.168965909994</v>
      </c>
      <c r="G48" s="38">
        <f t="shared" si="2"/>
        <v>2.7294025210493622E-2</v>
      </c>
    </row>
    <row r="49" spans="2:7" x14ac:dyDescent="0.25">
      <c r="B49" s="1" t="s">
        <v>27</v>
      </c>
      <c r="E49" s="48">
        <f t="shared" si="1"/>
        <v>100321.2350586</v>
      </c>
      <c r="F49" s="28">
        <v>99461.900965909997</v>
      </c>
      <c r="G49" s="29">
        <f t="shared" si="2"/>
        <v>8.6398317782456768E-3</v>
      </c>
    </row>
    <row r="50" spans="2:7" x14ac:dyDescent="0.25">
      <c r="B50" s="5" t="s">
        <v>28</v>
      </c>
      <c r="C50" s="5"/>
      <c r="D50" s="5"/>
      <c r="E50" s="47">
        <f t="shared" si="1"/>
        <v>4875.5159999999996</v>
      </c>
      <c r="F50" s="45">
        <f>+Balantzea!$I$52</f>
        <v>4916.7240000000002</v>
      </c>
      <c r="G50" s="38">
        <f t="shared" si="2"/>
        <v>-8.3811904023900485E-3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33</v>
      </c>
    </row>
    <row r="12" spans="2:7" ht="17.25" x14ac:dyDescent="0.3">
      <c r="B12" s="6" t="s">
        <v>13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10</v>
      </c>
      <c r="F14" s="9" t="s">
        <v>30</v>
      </c>
      <c r="G14" s="9" t="s">
        <v>29</v>
      </c>
    </row>
    <row r="15" spans="2:7" x14ac:dyDescent="0.25">
      <c r="B15" s="1" t="s">
        <v>0</v>
      </c>
      <c r="E15" s="30">
        <v>5.0558376321440009E-2</v>
      </c>
      <c r="F15" s="31">
        <v>4.6630660066974847E-2</v>
      </c>
      <c r="G15" s="32" t="str">
        <f>IF(ISERROR($E15-F15),"-",CONCATENATE((FIXED($E15-F15,4)*10000)," op"))</f>
        <v>39 op</v>
      </c>
    </row>
    <row r="16" spans="2:7" x14ac:dyDescent="0.25">
      <c r="B16" s="1" t="s">
        <v>3</v>
      </c>
      <c r="E16" s="30">
        <v>5.4394125957890949E-2</v>
      </c>
      <c r="F16" s="31">
        <v>5.0162215326075052E-2</v>
      </c>
      <c r="G16" s="32" t="str">
        <f t="shared" ref="G16:G19" si="0">IF(ISERROR($E16-F16),"-",CONCATENATE((FIXED($E16-F16,4)*10000)," op"))</f>
        <v>42 op</v>
      </c>
    </row>
    <row r="17" spans="2:7" x14ac:dyDescent="0.25">
      <c r="B17" s="1" t="s">
        <v>1</v>
      </c>
      <c r="E17" s="30">
        <v>4.2297990434052189E-3</v>
      </c>
      <c r="F17" s="31">
        <v>3.7213223997682905E-3</v>
      </c>
      <c r="G17" s="32" t="str">
        <f t="shared" si="0"/>
        <v>5 op</v>
      </c>
    </row>
    <row r="18" spans="2:7" x14ac:dyDescent="0.25">
      <c r="B18" s="1" t="s">
        <v>2</v>
      </c>
      <c r="E18" s="30">
        <v>7.9110556549896235E-3</v>
      </c>
      <c r="F18" s="31">
        <v>6.6621131754517589E-3</v>
      </c>
      <c r="G18" s="32" t="str">
        <f t="shared" si="0"/>
        <v>12 op</v>
      </c>
    </row>
    <row r="19" spans="2:7" x14ac:dyDescent="0.25">
      <c r="B19" s="1" t="s">
        <v>34</v>
      </c>
      <c r="E19" s="30">
        <v>0.56079078400285265</v>
      </c>
      <c r="F19" s="31">
        <v>0.63296732647073983</v>
      </c>
      <c r="G19" s="32" t="str">
        <f t="shared" si="0"/>
        <v>-722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31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10</v>
      </c>
      <c r="F30" s="9" t="s">
        <v>32</v>
      </c>
      <c r="G30" s="9" t="s">
        <v>29</v>
      </c>
    </row>
    <row r="31" spans="2:7" x14ac:dyDescent="0.25">
      <c r="B31" s="1" t="s">
        <v>0</v>
      </c>
      <c r="E31" s="30">
        <f>+E15</f>
        <v>5.0558376321440009E-2</v>
      </c>
      <c r="F31" s="31">
        <v>5.2423611768332261E-2</v>
      </c>
      <c r="G31" s="32" t="str">
        <f>IF(ISERROR($E31-F31),"-",CONCATENATE((FIXED($E31-F31,4)*10000)," op"))</f>
        <v>-19 op</v>
      </c>
    </row>
    <row r="32" spans="2:7" x14ac:dyDescent="0.25">
      <c r="B32" s="1" t="s">
        <v>3</v>
      </c>
      <c r="E32" s="30">
        <f t="shared" ref="E32:E35" si="1">+E16</f>
        <v>5.4394125957890949E-2</v>
      </c>
      <c r="F32" s="31">
        <v>5.6399074495919965E-2</v>
      </c>
      <c r="G32" s="32" t="str">
        <f t="shared" ref="G32:G35" si="2">IF(ISERROR($E32-F32),"-",CONCATENATE((FIXED($E32-F32,4)*10000)," op"))</f>
        <v>-20 op</v>
      </c>
    </row>
    <row r="33" spans="2:7" x14ac:dyDescent="0.25">
      <c r="B33" s="1" t="s">
        <v>1</v>
      </c>
      <c r="E33" s="30">
        <f t="shared" si="1"/>
        <v>4.2297990434052189E-3</v>
      </c>
      <c r="F33" s="31">
        <v>4.3329861479097006E-3</v>
      </c>
      <c r="G33" s="32" t="str">
        <f t="shared" si="2"/>
        <v>-1 op</v>
      </c>
    </row>
    <row r="34" spans="2:7" x14ac:dyDescent="0.25">
      <c r="B34" s="1" t="s">
        <v>2</v>
      </c>
      <c r="E34" s="30">
        <f t="shared" si="1"/>
        <v>7.9110556549896235E-3</v>
      </c>
      <c r="F34" s="31">
        <v>8.049860170951148E-3</v>
      </c>
      <c r="G34" s="32" t="str">
        <f t="shared" si="2"/>
        <v>-1 op</v>
      </c>
    </row>
    <row r="35" spans="2:7" x14ac:dyDescent="0.25">
      <c r="B35" s="1" t="s">
        <v>34</v>
      </c>
      <c r="E35" s="30">
        <f t="shared" si="1"/>
        <v>0.56079078400285265</v>
      </c>
      <c r="F35" s="31">
        <v>0.6234882190476525</v>
      </c>
      <c r="G35" s="32" t="str">
        <f t="shared" si="2"/>
        <v>-627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35</v>
      </c>
    </row>
    <row r="12" spans="2:7" ht="17.25" x14ac:dyDescent="0.3">
      <c r="B12" s="6" t="s">
        <v>13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10</v>
      </c>
      <c r="F14" s="9" t="s">
        <v>30</v>
      </c>
      <c r="G14" s="9" t="s">
        <v>29</v>
      </c>
    </row>
    <row r="15" spans="2:7" x14ac:dyDescent="0.25">
      <c r="B15" s="1" t="s">
        <v>36</v>
      </c>
      <c r="E15" s="30">
        <v>0.151970070929107</v>
      </c>
      <c r="F15" s="31">
        <v>0.14605616750686004</v>
      </c>
      <c r="G15" s="32" t="str">
        <f>IF(ISERROR($E15-F15),"-",CONCATENATE((FIXED($E15-F15,4)*10000)," op"))</f>
        <v>59 op</v>
      </c>
    </row>
    <row r="16" spans="2:7" x14ac:dyDescent="0.25">
      <c r="B16" s="1" t="s">
        <v>37</v>
      </c>
      <c r="E16" s="30">
        <v>0.151970070929107</v>
      </c>
      <c r="F16" s="31">
        <v>0.14605616750686004</v>
      </c>
      <c r="G16" s="32" t="str">
        <f>IF(ISERROR($E16-F16),"-",CONCATENATE((FIXED($E16-F16,4)*10000)," op"))</f>
        <v>59 op</v>
      </c>
    </row>
    <row r="17" spans="2:7" x14ac:dyDescent="0.25">
      <c r="B17" s="1" t="s">
        <v>38</v>
      </c>
      <c r="E17" s="30">
        <v>0.151970070929107</v>
      </c>
      <c r="F17" s="31">
        <v>0.14708272591868454</v>
      </c>
      <c r="G17" s="32" t="str">
        <f>IF(ISERROR($E17-F17),"-",CONCATENATE((FIXED($E17-F17,4)*10000)," op"))</f>
        <v>49 op</v>
      </c>
    </row>
    <row r="18" spans="2:7" x14ac:dyDescent="0.25">
      <c r="B18" s="1" t="s">
        <v>39</v>
      </c>
      <c r="E18" s="30">
        <v>8.0883195637725905E-2</v>
      </c>
      <c r="F18" s="31">
        <v>7.6321620604912571E-2</v>
      </c>
      <c r="G18" s="32" t="str">
        <f t="shared" ref="G18:G23" si="0">IF(ISERROR($E18-F18),"-",CONCATENATE((FIXED($E18-F18,4)*10000)," op"))</f>
        <v>46 op</v>
      </c>
    </row>
    <row r="19" spans="2:7" s="21" customFormat="1" x14ac:dyDescent="0.25">
      <c r="B19" s="21" t="s">
        <v>8</v>
      </c>
      <c r="E19" s="58">
        <v>0.14843495096854686</v>
      </c>
      <c r="F19" s="59">
        <v>0.14364604710998813</v>
      </c>
      <c r="G19" s="32" t="str">
        <f t="shared" si="0"/>
        <v>48 op</v>
      </c>
    </row>
    <row r="20" spans="2:7" s="21" customFormat="1" x14ac:dyDescent="0.25">
      <c r="B20" s="21" t="s">
        <v>40</v>
      </c>
      <c r="E20" s="58">
        <v>7.9698663620372395E-2</v>
      </c>
      <c r="F20" s="59">
        <v>7.6173853878038739E-2</v>
      </c>
      <c r="G20" s="32" t="str">
        <f t="shared" si="0"/>
        <v>35 op</v>
      </c>
    </row>
    <row r="21" spans="2:7" x14ac:dyDescent="0.25">
      <c r="B21" s="1" t="s">
        <v>4</v>
      </c>
      <c r="E21" s="30">
        <v>1.5632080509878554</v>
      </c>
      <c r="F21" s="31">
        <v>2.288353478208792</v>
      </c>
      <c r="G21" s="32" t="str">
        <f t="shared" si="0"/>
        <v>-7251 op</v>
      </c>
    </row>
    <row r="22" spans="2:7" x14ac:dyDescent="0.25">
      <c r="B22" s="1" t="s">
        <v>5</v>
      </c>
      <c r="E22" s="30">
        <v>1.1571640214304229</v>
      </c>
      <c r="F22" s="31">
        <v>1.1460015844077804</v>
      </c>
      <c r="G22" s="32" t="str">
        <f t="shared" si="0"/>
        <v>112 op</v>
      </c>
    </row>
    <row r="23" spans="2:7" x14ac:dyDescent="0.25">
      <c r="B23" s="1" t="s">
        <v>9</v>
      </c>
      <c r="E23" s="30">
        <v>1.0863565106342519</v>
      </c>
      <c r="F23" s="31">
        <v>1.1237734703101674</v>
      </c>
      <c r="G23" s="32" t="str">
        <f t="shared" si="0"/>
        <v>-374 op</v>
      </c>
    </row>
    <row r="29" spans="2:7" ht="17.25" x14ac:dyDescent="0.3">
      <c r="B29" s="6" t="s">
        <v>31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10</v>
      </c>
      <c r="F31" s="9" t="s">
        <v>32</v>
      </c>
      <c r="G31" s="9" t="s">
        <v>29</v>
      </c>
    </row>
    <row r="32" spans="2:7" x14ac:dyDescent="0.25">
      <c r="B32" s="1" t="s">
        <v>36</v>
      </c>
      <c r="E32" s="30">
        <f t="shared" ref="E32:E40" si="1">+E15</f>
        <v>0.151970070929107</v>
      </c>
      <c r="F32" s="31">
        <v>0.15034960967037347</v>
      </c>
      <c r="G32" s="32" t="str">
        <f>IF(ISERROR($E32-F32),"-",CONCATENATE((FIXED($E32-F32,4)*10000)," op"))</f>
        <v>16 op</v>
      </c>
    </row>
    <row r="33" spans="2:7" x14ac:dyDescent="0.25">
      <c r="B33" s="1" t="s">
        <v>37</v>
      </c>
      <c r="E33" s="30">
        <f t="shared" si="1"/>
        <v>0.151970070929107</v>
      </c>
      <c r="F33" s="31">
        <v>0.15034960967037347</v>
      </c>
      <c r="G33" s="32" t="str">
        <f t="shared" ref="G33:G40" si="2">IF(ISERROR($E33-F33),"-",CONCATENATE((FIXED($E33-F33,4)*10000)," op"))</f>
        <v>16 op</v>
      </c>
    </row>
    <row r="34" spans="2:7" x14ac:dyDescent="0.25">
      <c r="B34" s="1" t="s">
        <v>38</v>
      </c>
      <c r="E34" s="30">
        <f t="shared" si="1"/>
        <v>0.151970070929107</v>
      </c>
      <c r="F34" s="31">
        <v>0.15141561331304265</v>
      </c>
      <c r="G34" s="32" t="str">
        <f t="shared" si="2"/>
        <v>6 op</v>
      </c>
    </row>
    <row r="35" spans="2:7" s="21" customFormat="1" x14ac:dyDescent="0.25">
      <c r="B35" s="1" t="s">
        <v>39</v>
      </c>
      <c r="C35" s="1"/>
      <c r="D35" s="1"/>
      <c r="E35" s="30">
        <f t="shared" si="1"/>
        <v>8.0883195637725905E-2</v>
      </c>
      <c r="F35" s="31">
        <v>7.8049022653611771E-2</v>
      </c>
      <c r="G35" s="32" t="str">
        <f t="shared" si="2"/>
        <v>28 op</v>
      </c>
    </row>
    <row r="36" spans="2:7" s="21" customFormat="1" x14ac:dyDescent="0.25">
      <c r="B36" s="21" t="s">
        <v>8</v>
      </c>
      <c r="E36" s="58">
        <f t="shared" si="1"/>
        <v>0.14843495096854686</v>
      </c>
      <c r="F36" s="59">
        <v>0.14563705784318207</v>
      </c>
      <c r="G36" s="32" t="str">
        <f t="shared" si="2"/>
        <v>28 op</v>
      </c>
    </row>
    <row r="37" spans="2:7" x14ac:dyDescent="0.25">
      <c r="B37" s="21" t="s">
        <v>40</v>
      </c>
      <c r="C37" s="21"/>
      <c r="D37" s="21"/>
      <c r="E37" s="58">
        <f t="shared" si="1"/>
        <v>7.9698663620372395E-2</v>
      </c>
      <c r="F37" s="59">
        <v>7.8633677974049909E-2</v>
      </c>
      <c r="G37" s="32" t="str">
        <f t="shared" si="2"/>
        <v>11 op</v>
      </c>
    </row>
    <row r="38" spans="2:7" x14ac:dyDescent="0.25">
      <c r="B38" s="1" t="s">
        <v>4</v>
      </c>
      <c r="E38" s="30">
        <f t="shared" si="1"/>
        <v>1.5632080509878554</v>
      </c>
      <c r="F38" s="31">
        <v>1.5941168823753764</v>
      </c>
      <c r="G38" s="32" t="str">
        <f t="shared" si="2"/>
        <v>-309 op</v>
      </c>
    </row>
    <row r="39" spans="2:7" x14ac:dyDescent="0.25">
      <c r="B39" s="1" t="s">
        <v>5</v>
      </c>
      <c r="E39" s="30">
        <f t="shared" si="1"/>
        <v>1.1571640214304229</v>
      </c>
      <c r="F39" s="31">
        <v>1.1299064668065322</v>
      </c>
      <c r="G39" s="32" t="str">
        <f t="shared" si="2"/>
        <v>273 op</v>
      </c>
    </row>
    <row r="40" spans="2:7" x14ac:dyDescent="0.25">
      <c r="B40" s="1" t="s">
        <v>9</v>
      </c>
      <c r="E40" s="30">
        <f t="shared" si="1"/>
        <v>1.0863565106342519</v>
      </c>
      <c r="F40" s="31">
        <v>1.1320018118683342</v>
      </c>
      <c r="G40" s="32" t="str">
        <f t="shared" si="2"/>
        <v>-456 op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41</v>
      </c>
    </row>
    <row r="12" spans="2:9" ht="17.25" x14ac:dyDescent="0.3">
      <c r="B12" s="6" t="s">
        <v>13</v>
      </c>
      <c r="F12" s="4"/>
    </row>
    <row r="13" spans="2:9" x14ac:dyDescent="0.25">
      <c r="B13" s="75" t="s">
        <v>42</v>
      </c>
      <c r="F13" s="4"/>
    </row>
    <row r="14" spans="2:9" x14ac:dyDescent="0.25">
      <c r="B14" s="7"/>
      <c r="C14" s="7"/>
      <c r="D14" s="7"/>
      <c r="E14" s="8" t="s">
        <v>10</v>
      </c>
      <c r="F14" s="9" t="s">
        <v>30</v>
      </c>
      <c r="G14" s="9" t="s">
        <v>29</v>
      </c>
    </row>
    <row r="15" spans="2:9" x14ac:dyDescent="0.25">
      <c r="B15" s="1" t="s">
        <v>43</v>
      </c>
      <c r="E15" s="33">
        <v>5931</v>
      </c>
      <c r="F15" s="34">
        <v>6422</v>
      </c>
      <c r="G15" s="35">
        <f>IF(ISERROR($E15/F15),"-",$E15/F15-1)</f>
        <v>-7.6455932731236409E-2</v>
      </c>
      <c r="H15" s="12"/>
      <c r="I15" s="12"/>
    </row>
    <row r="16" spans="2:9" x14ac:dyDescent="0.25">
      <c r="B16" s="1" t="s">
        <v>44</v>
      </c>
      <c r="E16" s="33">
        <v>958</v>
      </c>
      <c r="F16" s="34">
        <v>1013</v>
      </c>
      <c r="G16" s="35">
        <f t="shared" ref="G16:G20" si="0">IF(ISERROR($E16/F16),"-",$E16/F16-1)</f>
        <v>-5.4294175715695947E-2</v>
      </c>
      <c r="H16" s="12"/>
      <c r="I16" s="12"/>
    </row>
    <row r="17" spans="2:9" x14ac:dyDescent="0.25">
      <c r="B17" s="1" t="s">
        <v>45</v>
      </c>
      <c r="E17" s="33">
        <v>2676588</v>
      </c>
      <c r="F17" s="34">
        <v>2741108</v>
      </c>
      <c r="G17" s="35">
        <f t="shared" si="0"/>
        <v>-2.3537926998863257E-2</v>
      </c>
      <c r="H17" s="12"/>
      <c r="I17" s="12"/>
    </row>
    <row r="18" spans="2:9" x14ac:dyDescent="0.25">
      <c r="B18" s="1" t="s">
        <v>46</v>
      </c>
      <c r="E18" s="33">
        <v>2524219</v>
      </c>
      <c r="F18" s="34">
        <v>2589728</v>
      </c>
      <c r="G18" s="35">
        <f t="shared" si="0"/>
        <v>-2.5295706730591005E-2</v>
      </c>
      <c r="H18" s="12"/>
      <c r="I18" s="12"/>
    </row>
    <row r="19" spans="2:9" x14ac:dyDescent="0.25">
      <c r="B19" s="1" t="s">
        <v>47</v>
      </c>
      <c r="E19" s="33">
        <v>152369</v>
      </c>
      <c r="F19" s="34">
        <v>151380</v>
      </c>
      <c r="G19" s="35">
        <f t="shared" si="0"/>
        <v>6.5332276390539512E-3</v>
      </c>
      <c r="H19" s="12"/>
      <c r="I19" s="12"/>
    </row>
    <row r="20" spans="2:9" x14ac:dyDescent="0.25">
      <c r="B20" s="1" t="s">
        <v>48</v>
      </c>
      <c r="E20" s="33">
        <v>1994</v>
      </c>
      <c r="F20" s="34">
        <v>2043</v>
      </c>
      <c r="G20" s="35">
        <f t="shared" si="0"/>
        <v>-2.3984336759667158E-2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31</v>
      </c>
      <c r="F28" s="4"/>
      <c r="H28" s="12"/>
      <c r="I28" s="12"/>
    </row>
    <row r="29" spans="2:9" x14ac:dyDescent="0.25">
      <c r="B29" s="75" t="s">
        <v>42</v>
      </c>
      <c r="F29" s="4"/>
      <c r="H29" s="12"/>
      <c r="I29" s="12"/>
    </row>
    <row r="30" spans="2:9" x14ac:dyDescent="0.25">
      <c r="B30" s="7"/>
      <c r="C30" s="7"/>
      <c r="D30" s="7"/>
      <c r="E30" s="8" t="s">
        <v>10</v>
      </c>
      <c r="F30" s="9" t="s">
        <v>32</v>
      </c>
      <c r="G30" s="9" t="s">
        <v>29</v>
      </c>
      <c r="H30" s="12"/>
      <c r="I30" s="12"/>
    </row>
    <row r="31" spans="2:9" x14ac:dyDescent="0.25">
      <c r="B31" s="1" t="s">
        <v>43</v>
      </c>
      <c r="E31" s="33">
        <f>+E15</f>
        <v>5931</v>
      </c>
      <c r="F31" s="34">
        <v>5965</v>
      </c>
      <c r="G31" s="35">
        <f>IF(ISERROR($E31/F31),"-",$E31/F31-1)</f>
        <v>-5.6999161777032681E-3</v>
      </c>
      <c r="H31" s="12"/>
      <c r="I31" s="12"/>
    </row>
    <row r="32" spans="2:9" x14ac:dyDescent="0.25">
      <c r="B32" s="1" t="s">
        <v>44</v>
      </c>
      <c r="E32" s="33">
        <f t="shared" ref="E32:E36" si="1">+E16</f>
        <v>958</v>
      </c>
      <c r="F32" s="34">
        <v>958</v>
      </c>
      <c r="G32" s="35">
        <f t="shared" ref="G32:G36" si="2">IF(ISERROR($E32/F32),"-",$E32/F32-1)</f>
        <v>0</v>
      </c>
      <c r="H32" s="12"/>
      <c r="I32" s="12"/>
    </row>
    <row r="33" spans="2:9" x14ac:dyDescent="0.25">
      <c r="B33" s="1" t="s">
        <v>45</v>
      </c>
      <c r="E33" s="33">
        <f t="shared" si="1"/>
        <v>2676588</v>
      </c>
      <c r="F33" s="34">
        <v>2690924</v>
      </c>
      <c r="G33" s="35">
        <f t="shared" si="2"/>
        <v>-5.3275380501269787E-3</v>
      </c>
      <c r="H33" s="12"/>
      <c r="I33" s="12"/>
    </row>
    <row r="34" spans="2:9" x14ac:dyDescent="0.25">
      <c r="B34" s="1" t="s">
        <v>46</v>
      </c>
      <c r="E34" s="33">
        <f t="shared" si="1"/>
        <v>2524219</v>
      </c>
      <c r="F34" s="34">
        <v>2537543</v>
      </c>
      <c r="G34" s="35">
        <f t="shared" si="2"/>
        <v>-5.2507484602231091E-3</v>
      </c>
      <c r="H34" s="12"/>
      <c r="I34" s="12"/>
    </row>
    <row r="35" spans="2:9" x14ac:dyDescent="0.25">
      <c r="B35" s="1" t="s">
        <v>47</v>
      </c>
      <c r="E35" s="33">
        <f t="shared" si="1"/>
        <v>152369</v>
      </c>
      <c r="F35" s="34">
        <v>153381</v>
      </c>
      <c r="G35" s="35">
        <f t="shared" si="2"/>
        <v>-6.5979488984946322E-3</v>
      </c>
      <c r="H35" s="12"/>
      <c r="I35" s="12"/>
    </row>
    <row r="36" spans="2:9" x14ac:dyDescent="0.25">
      <c r="B36" s="1" t="s">
        <v>48</v>
      </c>
      <c r="E36" s="33">
        <f t="shared" si="1"/>
        <v>1994</v>
      </c>
      <c r="F36" s="34">
        <v>1997</v>
      </c>
      <c r="G36" s="35">
        <f t="shared" si="2"/>
        <v>-1.502253380070151E-3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49</v>
      </c>
    </row>
    <row r="10" spans="2:10" x14ac:dyDescent="0.25">
      <c r="B10" s="74" t="s">
        <v>14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10</v>
      </c>
      <c r="I14" s="9" t="s">
        <v>30</v>
      </c>
      <c r="J14" s="9" t="s">
        <v>29</v>
      </c>
    </row>
    <row r="15" spans="2:10" x14ac:dyDescent="0.25">
      <c r="B15" s="5" t="s">
        <v>50</v>
      </c>
      <c r="C15" s="5"/>
      <c r="D15" s="5"/>
      <c r="E15" s="5"/>
      <c r="F15" s="5"/>
      <c r="G15" s="5"/>
      <c r="H15" s="17">
        <v>557.99800000000005</v>
      </c>
      <c r="I15" s="37">
        <v>618.89800000000002</v>
      </c>
      <c r="J15" s="38">
        <f>IF(ISERROR($H15/I15),"-",$H15/I15-1)</f>
        <v>-9.8400705770579244E-2</v>
      </c>
    </row>
    <row r="16" spans="2:10" x14ac:dyDescent="0.25">
      <c r="B16" s="1" t="s">
        <v>51</v>
      </c>
      <c r="H16" s="20">
        <v>94.778999999999996</v>
      </c>
      <c r="I16" s="11">
        <v>79.632000000000005</v>
      </c>
      <c r="J16" s="35">
        <f t="shared" ref="J16:J41" si="0">IF(ISERROR($H16/I16),"-",$H16/I16-1)</f>
        <v>0.19021247739602165</v>
      </c>
    </row>
    <row r="17" spans="2:11" x14ac:dyDescent="0.25">
      <c r="B17" s="1" t="s">
        <v>52</v>
      </c>
      <c r="H17" s="20">
        <v>43.838000000000001</v>
      </c>
      <c r="I17" s="11">
        <v>12.128</v>
      </c>
      <c r="J17" s="35">
        <f t="shared" si="0"/>
        <v>2.6146108179419527</v>
      </c>
    </row>
    <row r="18" spans="2:11" x14ac:dyDescent="0.25">
      <c r="B18" s="5" t="s">
        <v>53</v>
      </c>
      <c r="C18" s="5"/>
      <c r="D18" s="5"/>
      <c r="E18" s="5"/>
      <c r="F18" s="5"/>
      <c r="G18" s="5"/>
      <c r="H18" s="17">
        <v>343.82499999999999</v>
      </c>
      <c r="I18" s="37">
        <v>356.28300000000002</v>
      </c>
      <c r="J18" s="38">
        <f t="shared" si="0"/>
        <v>-3.4966585551373552E-2</v>
      </c>
    </row>
    <row r="19" spans="2:11" x14ac:dyDescent="0.25">
      <c r="B19" s="1" t="s">
        <v>54</v>
      </c>
      <c r="H19" s="20">
        <v>167.06899999999999</v>
      </c>
      <c r="I19" s="11">
        <v>79.438000000000002</v>
      </c>
      <c r="J19" s="35">
        <f t="shared" si="0"/>
        <v>1.1031370376897702</v>
      </c>
    </row>
    <row r="20" spans="2:11" x14ac:dyDescent="0.25">
      <c r="B20" s="1" t="s">
        <v>55</v>
      </c>
      <c r="H20" s="20">
        <v>3.7050000000000001</v>
      </c>
      <c r="I20" s="11">
        <v>5.08</v>
      </c>
      <c r="J20" s="35">
        <f t="shared" si="0"/>
        <v>-0.27066929133858264</v>
      </c>
    </row>
    <row r="21" spans="2:11" x14ac:dyDescent="0.25">
      <c r="B21" t="s">
        <v>56</v>
      </c>
      <c r="H21" s="20">
        <v>45.21</v>
      </c>
      <c r="I21" s="11">
        <v>31.67</v>
      </c>
      <c r="J21" s="35">
        <f t="shared" si="0"/>
        <v>0.42753394379539</v>
      </c>
    </row>
    <row r="22" spans="2:11" ht="17.25" x14ac:dyDescent="0.3">
      <c r="B22" s="6" t="s">
        <v>57</v>
      </c>
      <c r="C22" s="6"/>
      <c r="D22" s="6"/>
      <c r="E22" s="6"/>
      <c r="F22" s="6"/>
      <c r="G22" s="6"/>
      <c r="H22" s="18">
        <f>SUM(H15:H21)</f>
        <v>1256.424</v>
      </c>
      <c r="I22" s="27">
        <f>SUM(I15:I21)</f>
        <v>1183.1290000000001</v>
      </c>
      <c r="J22" s="39">
        <f t="shared" si="0"/>
        <v>6.1950133924533857E-2</v>
      </c>
      <c r="K22" s="12"/>
    </row>
    <row r="23" spans="2:11" x14ac:dyDescent="0.25">
      <c r="B23" s="19" t="s">
        <v>58</v>
      </c>
      <c r="C23" s="19"/>
      <c r="D23" s="19"/>
      <c r="E23" s="19"/>
      <c r="F23" s="19"/>
      <c r="G23" s="19"/>
      <c r="H23" s="20">
        <f>+H24+H25</f>
        <v>648.505</v>
      </c>
      <c r="I23" s="11">
        <f>+I24+I25</f>
        <v>692.88900000000001</v>
      </c>
      <c r="J23" s="35">
        <f t="shared" si="0"/>
        <v>-6.4056436167986508E-2</v>
      </c>
    </row>
    <row r="24" spans="2:11" s="21" customFormat="1" x14ac:dyDescent="0.25">
      <c r="B24" s="21" t="s">
        <v>59</v>
      </c>
      <c r="H24" s="22">
        <v>452.86599999999999</v>
      </c>
      <c r="I24" s="23">
        <v>482.43700000000001</v>
      </c>
      <c r="J24" s="35">
        <f t="shared" si="0"/>
        <v>-6.1295049923617007E-2</v>
      </c>
    </row>
    <row r="25" spans="2:11" s="21" customFormat="1" x14ac:dyDescent="0.25">
      <c r="B25" s="21" t="s">
        <v>60</v>
      </c>
      <c r="H25" s="22">
        <v>195.63900000000001</v>
      </c>
      <c r="I25" s="23">
        <v>210.452</v>
      </c>
      <c r="J25" s="35">
        <f t="shared" si="0"/>
        <v>-7.0386596468553386E-2</v>
      </c>
    </row>
    <row r="26" spans="2:11" x14ac:dyDescent="0.25">
      <c r="B26" s="1" t="s">
        <v>61</v>
      </c>
      <c r="H26" s="20">
        <v>56.085999999999999</v>
      </c>
      <c r="I26" s="11">
        <v>55.993000000000002</v>
      </c>
      <c r="J26" s="35">
        <f t="shared" si="0"/>
        <v>1.660921900951795E-3</v>
      </c>
    </row>
    <row r="27" spans="2:11" ht="17.25" x14ac:dyDescent="0.3">
      <c r="B27" s="6" t="s">
        <v>62</v>
      </c>
      <c r="C27" s="6"/>
      <c r="D27" s="6"/>
      <c r="E27" s="6"/>
      <c r="F27" s="6"/>
      <c r="G27" s="6"/>
      <c r="H27" s="18">
        <f>+H22-H23-H26</f>
        <v>551.83299999999997</v>
      </c>
      <c r="I27" s="27">
        <f>+I22-I23-I26</f>
        <v>434.24700000000013</v>
      </c>
      <c r="J27" s="39">
        <f t="shared" si="0"/>
        <v>0.27078137557657245</v>
      </c>
    </row>
    <row r="28" spans="2:11" x14ac:dyDescent="0.25">
      <c r="B28" s="1" t="s">
        <v>63</v>
      </c>
      <c r="H28" s="20">
        <v>117.58499999999999</v>
      </c>
      <c r="I28" s="11">
        <v>47.012999999999998</v>
      </c>
      <c r="J28" s="35">
        <f t="shared" si="0"/>
        <v>1.5011167123986984</v>
      </c>
    </row>
    <row r="29" spans="2:11" x14ac:dyDescent="0.25">
      <c r="B29" s="1" t="s">
        <v>64</v>
      </c>
      <c r="H29" s="20">
        <f>+H30+H31</f>
        <v>89.363</v>
      </c>
      <c r="I29" s="25">
        <f>+I30+I31</f>
        <v>363.58000000000004</v>
      </c>
      <c r="J29" s="35">
        <f t="shared" si="0"/>
        <v>-0.75421365311623301</v>
      </c>
    </row>
    <row r="30" spans="2:11" s="21" customFormat="1" x14ac:dyDescent="0.25">
      <c r="B30" s="21" t="s">
        <v>65</v>
      </c>
      <c r="H30" s="22">
        <v>49.932000000000002</v>
      </c>
      <c r="I30" s="23">
        <v>240.06800000000001</v>
      </c>
      <c r="J30" s="35">
        <f t="shared" si="0"/>
        <v>-0.79200893080293921</v>
      </c>
    </row>
    <row r="31" spans="2:11" s="21" customFormat="1" x14ac:dyDescent="0.25">
      <c r="B31" s="21" t="s">
        <v>66</v>
      </c>
      <c r="H31" s="22">
        <v>39.430999999999997</v>
      </c>
      <c r="I31" s="23">
        <v>123.512</v>
      </c>
      <c r="J31" s="35">
        <f t="shared" si="0"/>
        <v>-0.68075166785413566</v>
      </c>
    </row>
    <row r="32" spans="2:11" x14ac:dyDescent="0.25">
      <c r="B32" s="5" t="s">
        <v>67</v>
      </c>
      <c r="C32" s="5"/>
      <c r="D32" s="5"/>
      <c r="E32" s="5"/>
      <c r="F32" s="5"/>
      <c r="G32" s="5"/>
      <c r="H32" s="17">
        <f>+H27-H28-H29</f>
        <v>344.88499999999999</v>
      </c>
      <c r="I32" s="37">
        <f>+I27-I28-I29</f>
        <v>23.65400000000011</v>
      </c>
      <c r="J32" s="38" t="s">
        <v>6</v>
      </c>
    </row>
    <row r="33" spans="2:10" x14ac:dyDescent="0.25">
      <c r="B33" s="1" t="s">
        <v>68</v>
      </c>
      <c r="H33" s="20">
        <v>0.68700000000000006</v>
      </c>
      <c r="I33" s="11">
        <v>0</v>
      </c>
      <c r="J33" s="35" t="str">
        <f t="shared" si="0"/>
        <v>-</v>
      </c>
    </row>
    <row r="34" spans="2:10" x14ac:dyDescent="0.25">
      <c r="B34" s="1" t="s">
        <v>69</v>
      </c>
      <c r="H34" s="20">
        <v>14.946</v>
      </c>
      <c r="I34" s="11">
        <v>24.52</v>
      </c>
      <c r="J34" s="35">
        <f t="shared" si="0"/>
        <v>-0.39045676998368684</v>
      </c>
    </row>
    <row r="35" spans="2:10" x14ac:dyDescent="0.25">
      <c r="B35" s="1" t="s">
        <v>70</v>
      </c>
      <c r="H35" s="20">
        <v>25.475999999999999</v>
      </c>
      <c r="I35" s="11">
        <v>217.63399999999999</v>
      </c>
      <c r="J35" s="35">
        <f t="shared" si="0"/>
        <v>-0.88294108457318254</v>
      </c>
    </row>
    <row r="36" spans="2:10" x14ac:dyDescent="0.25">
      <c r="B36" s="1" t="s">
        <v>71</v>
      </c>
      <c r="H36" s="20">
        <v>-40.999000000000002</v>
      </c>
      <c r="I36" s="11">
        <v>-12.49</v>
      </c>
      <c r="J36" s="35">
        <f t="shared" si="0"/>
        <v>2.2825460368294639</v>
      </c>
    </row>
    <row r="37" spans="2:10" ht="17.25" x14ac:dyDescent="0.3">
      <c r="B37" s="6" t="s">
        <v>72</v>
      </c>
      <c r="C37" s="6"/>
      <c r="D37" s="6"/>
      <c r="E37" s="6"/>
      <c r="F37" s="6"/>
      <c r="G37" s="6"/>
      <c r="H37" s="18">
        <f>+H32-H33-H34+H35+H36</f>
        <v>313.72899999999993</v>
      </c>
      <c r="I37" s="27">
        <f>+I32-I33-I34+I35+I36</f>
        <v>204.27800000000008</v>
      </c>
      <c r="J37" s="39">
        <f t="shared" si="0"/>
        <v>0.53579435866808867</v>
      </c>
    </row>
    <row r="38" spans="2:10" x14ac:dyDescent="0.25">
      <c r="B38" s="1" t="s">
        <v>73</v>
      </c>
      <c r="H38" s="20">
        <v>68.802999999999997</v>
      </c>
      <c r="I38" s="11">
        <v>-14.981</v>
      </c>
      <c r="J38" s="35">
        <f t="shared" si="0"/>
        <v>-5.592684066484213</v>
      </c>
    </row>
    <row r="39" spans="2:10" x14ac:dyDescent="0.25">
      <c r="B39" s="5" t="s">
        <v>74</v>
      </c>
      <c r="C39" s="5"/>
      <c r="D39" s="5"/>
      <c r="E39" s="5"/>
      <c r="F39" s="5"/>
      <c r="G39" s="5"/>
      <c r="H39" s="17">
        <v>244.92599999999999</v>
      </c>
      <c r="I39" s="37">
        <v>219.25900000000013</v>
      </c>
      <c r="J39" s="35">
        <f t="shared" si="0"/>
        <v>0.11706246949954102</v>
      </c>
    </row>
    <row r="40" spans="2:10" x14ac:dyDescent="0.25">
      <c r="B40" s="1" t="s">
        <v>75</v>
      </c>
      <c r="H40" s="10">
        <v>0.67800000000000005</v>
      </c>
      <c r="I40" s="11">
        <v>0.47699999999999998</v>
      </c>
      <c r="J40" s="35">
        <f t="shared" si="0"/>
        <v>0.42138364779874227</v>
      </c>
    </row>
    <row r="41" spans="2:10" s="24" customFormat="1" ht="17.25" x14ac:dyDescent="0.3">
      <c r="B41" s="6" t="s">
        <v>76</v>
      </c>
      <c r="C41" s="6"/>
      <c r="D41" s="6"/>
      <c r="E41" s="6"/>
      <c r="F41" s="6"/>
      <c r="G41" s="6"/>
      <c r="H41" s="18">
        <v>244.24799999999999</v>
      </c>
      <c r="I41" s="27">
        <v>218.78200000000001</v>
      </c>
      <c r="J41" s="39">
        <f t="shared" si="0"/>
        <v>0.11639897249316666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57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77</v>
      </c>
    </row>
    <row r="10" spans="2:10" x14ac:dyDescent="0.25">
      <c r="B10" s="74" t="s">
        <v>14</v>
      </c>
    </row>
    <row r="12" spans="2:10" ht="17.25" x14ac:dyDescent="0.3">
      <c r="B12" s="6"/>
      <c r="G12" s="4"/>
      <c r="I12" s="4"/>
    </row>
    <row r="13" spans="2:10" x14ac:dyDescent="0.25">
      <c r="G13" s="4"/>
      <c r="I13" s="4"/>
    </row>
    <row r="14" spans="2:10" x14ac:dyDescent="0.25">
      <c r="B14" s="7"/>
      <c r="C14" s="7"/>
      <c r="D14" s="7"/>
      <c r="E14" s="7"/>
      <c r="F14" s="8" t="s">
        <v>10</v>
      </c>
      <c r="G14" s="9" t="s">
        <v>30</v>
      </c>
      <c r="H14" s="9" t="s">
        <v>29</v>
      </c>
      <c r="I14" s="9" t="s">
        <v>32</v>
      </c>
      <c r="J14" s="9" t="s">
        <v>29</v>
      </c>
    </row>
    <row r="15" spans="2:10" s="19" customFormat="1" x14ac:dyDescent="0.25">
      <c r="B15" s="19" t="s">
        <v>78</v>
      </c>
      <c r="F15" s="20">
        <v>1481.508</v>
      </c>
      <c r="G15" s="25">
        <v>955.78300000000002</v>
      </c>
      <c r="H15" s="35">
        <f>IF(ISERROR($F15/G15),"-",$F15/G15-1)</f>
        <v>0.55004640174600294</v>
      </c>
      <c r="I15" s="25">
        <v>676.322</v>
      </c>
      <c r="J15" s="35">
        <f>IF(ISERROR($F15/I15),"-",$F15/I15-1)</f>
        <v>1.1905364604433983</v>
      </c>
    </row>
    <row r="16" spans="2:10" s="19" customFormat="1" x14ac:dyDescent="0.25">
      <c r="B16" s="19" t="s">
        <v>79</v>
      </c>
      <c r="F16" s="20">
        <f>+F17+F18+F19</f>
        <v>142.345</v>
      </c>
      <c r="G16" s="25">
        <f>+G17+G18+G19</f>
        <v>136.018</v>
      </c>
      <c r="H16" s="35">
        <f t="shared" ref="H16:H56" si="0">IF(ISERROR($F16/G16),"-",$F16/G16-1)</f>
        <v>4.6515902307047607E-2</v>
      </c>
      <c r="I16" s="25">
        <f>+I17+I18+I19</f>
        <v>150.976</v>
      </c>
      <c r="J16" s="35">
        <f t="shared" ref="J16:J56" si="1">IF(ISERROR($F16/I16),"-",$F16/I16-1)</f>
        <v>-5.7168026706231445E-2</v>
      </c>
    </row>
    <row r="17" spans="2:10" s="21" customFormat="1" x14ac:dyDescent="0.25">
      <c r="B17" s="21" t="s">
        <v>80</v>
      </c>
      <c r="F17" s="22">
        <v>142.345</v>
      </c>
      <c r="G17" s="23">
        <v>136.018</v>
      </c>
      <c r="H17" s="41">
        <f t="shared" si="0"/>
        <v>4.6515902307047607E-2</v>
      </c>
      <c r="I17" s="23">
        <v>150.976</v>
      </c>
      <c r="J17" s="41">
        <f t="shared" si="1"/>
        <v>-5.7168026706231445E-2</v>
      </c>
    </row>
    <row r="18" spans="2:10" s="21" customFormat="1" x14ac:dyDescent="0.25">
      <c r="B18" s="21" t="s">
        <v>81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</row>
    <row r="19" spans="2:10" s="21" customFormat="1" x14ac:dyDescent="0.25">
      <c r="B19" s="21" t="s">
        <v>82</v>
      </c>
      <c r="F19" s="22">
        <v>0</v>
      </c>
      <c r="G19" s="23">
        <v>0</v>
      </c>
      <c r="H19" s="41" t="str">
        <f t="shared" si="0"/>
        <v>-</v>
      </c>
      <c r="I19" s="23">
        <v>0</v>
      </c>
      <c r="J19" s="41" t="str">
        <f t="shared" si="1"/>
        <v>-</v>
      </c>
    </row>
    <row r="20" spans="2:10" s="19" customFormat="1" x14ac:dyDescent="0.25">
      <c r="B20" s="19" t="s">
        <v>83</v>
      </c>
      <c r="F20" s="20">
        <f>+F21+F22</f>
        <v>34.994</v>
      </c>
      <c r="G20" s="25">
        <f>+G21+G22</f>
        <v>38.380000000000003</v>
      </c>
      <c r="H20" s="35">
        <f t="shared" si="0"/>
        <v>-8.8223032829598869E-2</v>
      </c>
      <c r="I20" s="25">
        <f>+I21+I22</f>
        <v>36.650999999999996</v>
      </c>
      <c r="J20" s="35">
        <f t="shared" si="1"/>
        <v>-4.5210226187552771E-2</v>
      </c>
    </row>
    <row r="21" spans="2:10" s="19" customFormat="1" x14ac:dyDescent="0.25">
      <c r="B21" s="21" t="s">
        <v>81</v>
      </c>
      <c r="C21" s="21"/>
      <c r="D21" s="21"/>
      <c r="E21" s="21"/>
      <c r="F21" s="22">
        <v>6.2489999999999997</v>
      </c>
      <c r="G21" s="23">
        <v>6.702</v>
      </c>
      <c r="H21" s="41">
        <f t="shared" si="0"/>
        <v>-6.7591763652641079E-2</v>
      </c>
      <c r="I21" s="23">
        <v>6.1289999999999996</v>
      </c>
      <c r="J21" s="41">
        <f t="shared" si="1"/>
        <v>1.9579050416054899E-2</v>
      </c>
    </row>
    <row r="22" spans="2:10" s="19" customFormat="1" x14ac:dyDescent="0.25">
      <c r="B22" s="21" t="s">
        <v>82</v>
      </c>
      <c r="C22" s="21"/>
      <c r="D22" s="21"/>
      <c r="E22" s="21"/>
      <c r="F22" s="22">
        <v>28.745000000000001</v>
      </c>
      <c r="G22" s="23">
        <v>31.678000000000001</v>
      </c>
      <c r="H22" s="41">
        <f t="shared" si="0"/>
        <v>-9.2587915903781792E-2</v>
      </c>
      <c r="I22" s="23">
        <v>30.521999999999998</v>
      </c>
      <c r="J22" s="41">
        <f t="shared" si="1"/>
        <v>-5.8220300111395007E-2</v>
      </c>
    </row>
    <row r="23" spans="2:10" s="19" customFormat="1" x14ac:dyDescent="0.25">
      <c r="B23" s="19" t="s">
        <v>84</v>
      </c>
      <c r="F23" s="20">
        <f>+F24+F25</f>
        <v>5236.49</v>
      </c>
      <c r="G23" s="25">
        <f>+G24+G25</f>
        <v>6265.433</v>
      </c>
      <c r="H23" s="35">
        <f t="shared" si="0"/>
        <v>-0.16422536159911061</v>
      </c>
      <c r="I23" s="25">
        <f>+I24+I25</f>
        <v>6188.6200000000008</v>
      </c>
      <c r="J23" s="35">
        <f t="shared" si="1"/>
        <v>-0.15385174723928774</v>
      </c>
    </row>
    <row r="24" spans="2:10" s="21" customFormat="1" x14ac:dyDescent="0.25">
      <c r="B24" s="21" t="s">
        <v>81</v>
      </c>
      <c r="F24" s="22">
        <v>2206.6579999999999</v>
      </c>
      <c r="G24" s="23">
        <v>2394.6689999999999</v>
      </c>
      <c r="H24" s="35">
        <f t="shared" si="0"/>
        <v>-7.8512312140007645E-2</v>
      </c>
      <c r="I24" s="23">
        <v>2246.0500000000002</v>
      </c>
      <c r="J24" s="35">
        <f t="shared" si="1"/>
        <v>-1.7538345094721963E-2</v>
      </c>
    </row>
    <row r="25" spans="2:10" s="21" customFormat="1" x14ac:dyDescent="0.25">
      <c r="B25" s="21" t="s">
        <v>82</v>
      </c>
      <c r="F25" s="22">
        <v>3029.8319999999999</v>
      </c>
      <c r="G25" s="23">
        <v>3870.7640000000001</v>
      </c>
      <c r="H25" s="35">
        <f t="shared" si="0"/>
        <v>-0.21725220137419909</v>
      </c>
      <c r="I25" s="23">
        <v>3942.57</v>
      </c>
      <c r="J25" s="35">
        <f t="shared" si="1"/>
        <v>-0.23150838158865927</v>
      </c>
    </row>
    <row r="26" spans="2:10" s="19" customFormat="1" x14ac:dyDescent="0.25">
      <c r="B26" s="19" t="s">
        <v>85</v>
      </c>
      <c r="F26" s="20">
        <f>+F27+F28</f>
        <v>44269.735000000001</v>
      </c>
      <c r="G26" s="25">
        <f>+G27+G28</f>
        <v>45426.375999999997</v>
      </c>
      <c r="H26" s="35">
        <f t="shared" si="0"/>
        <v>-2.5461881440861478E-2</v>
      </c>
      <c r="I26" s="25">
        <f>+I27+I28</f>
        <v>43998.483999999997</v>
      </c>
      <c r="J26" s="35">
        <f t="shared" si="1"/>
        <v>6.1650078670894004E-3</v>
      </c>
    </row>
    <row r="27" spans="2:10" s="19" customFormat="1" x14ac:dyDescent="0.25">
      <c r="B27" s="21" t="s">
        <v>86</v>
      </c>
      <c r="C27" s="21"/>
      <c r="D27" s="21"/>
      <c r="E27" s="21"/>
      <c r="F27" s="22">
        <v>1696.6020000000001</v>
      </c>
      <c r="G27" s="23">
        <v>2605.2060000000001</v>
      </c>
      <c r="H27" s="41">
        <f t="shared" si="0"/>
        <v>-0.34876474259617085</v>
      </c>
      <c r="I27" s="23">
        <v>1233.924</v>
      </c>
      <c r="J27" s="41">
        <f t="shared" si="1"/>
        <v>0.37496474661324375</v>
      </c>
    </row>
    <row r="28" spans="2:10" s="19" customFormat="1" x14ac:dyDescent="0.25">
      <c r="B28" s="21" t="s">
        <v>19</v>
      </c>
      <c r="C28" s="21"/>
      <c r="F28" s="22">
        <v>42573.133000000002</v>
      </c>
      <c r="G28" s="23">
        <v>42821.17</v>
      </c>
      <c r="H28" s="41">
        <f t="shared" si="0"/>
        <v>-5.7923919407152358E-3</v>
      </c>
      <c r="I28" s="23">
        <v>42764.56</v>
      </c>
      <c r="J28" s="41">
        <f t="shared" si="1"/>
        <v>-4.4763000016835308E-3</v>
      </c>
    </row>
    <row r="29" spans="2:10" s="19" customFormat="1" x14ac:dyDescent="0.25">
      <c r="B29" s="19" t="s">
        <v>87</v>
      </c>
      <c r="F29" s="20">
        <v>44.246000000000002</v>
      </c>
      <c r="G29" s="25">
        <v>44.142000000000003</v>
      </c>
      <c r="H29" s="35">
        <f t="shared" si="0"/>
        <v>2.3560328032259381E-3</v>
      </c>
      <c r="I29" s="25">
        <v>45.67</v>
      </c>
      <c r="J29" s="35">
        <f t="shared" si="1"/>
        <v>-3.1180205824392404E-2</v>
      </c>
    </row>
    <row r="30" spans="2:10" s="19" customFormat="1" x14ac:dyDescent="0.25">
      <c r="B30" s="19" t="s">
        <v>88</v>
      </c>
      <c r="F30" s="20">
        <v>858.697</v>
      </c>
      <c r="G30" s="25">
        <v>834.48199999999997</v>
      </c>
      <c r="H30" s="35">
        <f t="shared" si="0"/>
        <v>2.9018001586613051E-2</v>
      </c>
      <c r="I30" s="25">
        <v>859.87800000000004</v>
      </c>
      <c r="J30" s="35">
        <f t="shared" si="1"/>
        <v>-1.3734506523018775E-3</v>
      </c>
    </row>
    <row r="31" spans="2:10" s="19" customFormat="1" x14ac:dyDescent="0.25">
      <c r="B31" s="19" t="s">
        <v>80</v>
      </c>
      <c r="F31" s="20">
        <v>254.85499999999999</v>
      </c>
      <c r="G31" s="25">
        <v>352.78699999999998</v>
      </c>
      <c r="H31" s="35">
        <f t="shared" si="0"/>
        <v>-0.27759526286399439</v>
      </c>
      <c r="I31" s="25">
        <v>326.072</v>
      </c>
      <c r="J31" s="35">
        <f t="shared" si="1"/>
        <v>-0.21840881768443787</v>
      </c>
    </row>
    <row r="32" spans="2:10" s="19" customFormat="1" x14ac:dyDescent="0.25">
      <c r="B32" s="19" t="s">
        <v>18</v>
      </c>
      <c r="F32" s="20">
        <v>503.11799999999999</v>
      </c>
      <c r="G32" s="25">
        <v>499.29700000000003</v>
      </c>
      <c r="H32" s="35">
        <f t="shared" si="0"/>
        <v>7.6527597802509284E-3</v>
      </c>
      <c r="I32" s="25">
        <v>518.67899999999997</v>
      </c>
      <c r="J32" s="35">
        <f t="shared" si="1"/>
        <v>-3.0001214624073791E-2</v>
      </c>
    </row>
    <row r="33" spans="2:10" s="19" customFormat="1" x14ac:dyDescent="0.25">
      <c r="B33" s="19" t="s">
        <v>89</v>
      </c>
      <c r="F33" s="20">
        <v>49.323</v>
      </c>
      <c r="G33" s="25">
        <v>65.069000000000003</v>
      </c>
      <c r="H33" s="35">
        <f t="shared" si="0"/>
        <v>-0.24198927292566352</v>
      </c>
      <c r="I33" s="25">
        <v>50.793999999999997</v>
      </c>
      <c r="J33" s="35">
        <f t="shared" si="1"/>
        <v>-2.8960113399220333E-2</v>
      </c>
    </row>
    <row r="34" spans="2:10" s="19" customFormat="1" x14ac:dyDescent="0.25">
      <c r="B34" s="19" t="s">
        <v>90</v>
      </c>
      <c r="F34" s="20">
        <v>1065.463</v>
      </c>
      <c r="G34" s="25">
        <v>1108.43</v>
      </c>
      <c r="H34" s="35">
        <f t="shared" si="0"/>
        <v>-3.8763837139016544E-2</v>
      </c>
      <c r="I34" s="25">
        <v>1068.4069999999999</v>
      </c>
      <c r="J34" s="35">
        <f t="shared" si="1"/>
        <v>-2.7555042226417026E-3</v>
      </c>
    </row>
    <row r="35" spans="2:10" s="19" customFormat="1" x14ac:dyDescent="0.25">
      <c r="B35" s="19" t="s">
        <v>91</v>
      </c>
      <c r="F35" s="20">
        <v>347.75900000000001</v>
      </c>
      <c r="G35" s="25">
        <v>338.685</v>
      </c>
      <c r="H35" s="35">
        <f t="shared" si="0"/>
        <v>2.67918567400387E-2</v>
      </c>
      <c r="I35" s="25">
        <v>347.02600000000001</v>
      </c>
      <c r="J35" s="35">
        <f t="shared" si="1"/>
        <v>2.1122336654890717E-3</v>
      </c>
    </row>
    <row r="36" spans="2:10" s="19" customFormat="1" x14ac:dyDescent="0.25">
      <c r="B36" s="19" t="s">
        <v>92</v>
      </c>
      <c r="F36" s="20">
        <v>1931.433</v>
      </c>
      <c r="G36" s="25">
        <v>2007.6559999999999</v>
      </c>
      <c r="H36" s="35">
        <f t="shared" si="0"/>
        <v>-3.79661655183956E-2</v>
      </c>
      <c r="I36" s="25">
        <v>2009.1020000000001</v>
      </c>
      <c r="J36" s="35">
        <f t="shared" si="1"/>
        <v>-3.865856487127084E-2</v>
      </c>
    </row>
    <row r="37" spans="2:10" s="19" customFormat="1" ht="17.25" x14ac:dyDescent="0.3">
      <c r="B37" s="19" t="s">
        <v>93</v>
      </c>
      <c r="D37" s="6"/>
      <c r="E37" s="6"/>
      <c r="F37" s="20">
        <v>295.95</v>
      </c>
      <c r="G37" s="25">
        <v>303.13400000000001</v>
      </c>
      <c r="H37" s="35">
        <f t="shared" si="0"/>
        <v>-2.3699090171343418E-2</v>
      </c>
      <c r="I37" s="25">
        <v>325.68099999999998</v>
      </c>
      <c r="J37" s="35">
        <f t="shared" si="1"/>
        <v>-9.1288715030965917E-2</v>
      </c>
    </row>
    <row r="38" spans="2:10" s="6" customFormat="1" ht="17.25" x14ac:dyDescent="0.3">
      <c r="B38" s="6" t="s">
        <v>94</v>
      </c>
      <c r="D38" s="19"/>
      <c r="E38" s="19"/>
      <c r="F38" s="18">
        <f>+F15+F16+F20+F23+F26+F29+F30+F31+F32+F33+F34+F35+F36+F37</f>
        <v>56515.915999999997</v>
      </c>
      <c r="G38" s="27">
        <f>+G15+G16+G20+G23+G26+G29+G30+G31+G32+G33+G34+G35+G36+G37</f>
        <v>58375.671999999999</v>
      </c>
      <c r="H38" s="39">
        <f t="shared" si="0"/>
        <v>-3.1858408413696693E-2</v>
      </c>
      <c r="I38" s="40">
        <f>+I15+I16+I20+I23+I26+I29+I30+I31+I32+I33+I34+I35+I36+I37</f>
        <v>56602.361999999986</v>
      </c>
      <c r="J38" s="39">
        <f t="shared" si="1"/>
        <v>-1.5272507532457791E-3</v>
      </c>
    </row>
    <row r="39" spans="2:10" s="19" customFormat="1" x14ac:dyDescent="0.25">
      <c r="B39" s="19" t="s">
        <v>95</v>
      </c>
      <c r="F39" s="20">
        <v>140.10900000000001</v>
      </c>
      <c r="G39" s="25">
        <v>131.803</v>
      </c>
      <c r="H39" s="35">
        <f t="shared" si="0"/>
        <v>6.3018292451613389E-2</v>
      </c>
      <c r="I39" s="25">
        <v>149.625</v>
      </c>
      <c r="J39" s="35">
        <f t="shared" si="1"/>
        <v>-6.3598997493734322E-2</v>
      </c>
    </row>
    <row r="40" spans="2:10" s="19" customFormat="1" x14ac:dyDescent="0.25">
      <c r="B40" s="19" t="s">
        <v>96</v>
      </c>
      <c r="D40" s="21"/>
      <c r="E40" s="21"/>
      <c r="F40" s="20">
        <f>+F41+F42+F43+F44+F45</f>
        <v>49157.493000000002</v>
      </c>
      <c r="G40" s="25">
        <f>+G41+G42+G43+G44+G45</f>
        <v>51124.934000000001</v>
      </c>
      <c r="H40" s="35">
        <f t="shared" si="0"/>
        <v>-3.8483003225001644E-2</v>
      </c>
      <c r="I40" s="25">
        <f>+I41+I42+I43+I44+I45</f>
        <v>49127.637000000002</v>
      </c>
      <c r="J40" s="35">
        <f t="shared" si="1"/>
        <v>6.0772310298573551E-4</v>
      </c>
    </row>
    <row r="41" spans="2:10" s="21" customFormat="1" x14ac:dyDescent="0.25">
      <c r="B41" s="21" t="s">
        <v>97</v>
      </c>
      <c r="F41" s="22">
        <v>2620</v>
      </c>
      <c r="G41" s="23">
        <v>2619.52</v>
      </c>
      <c r="H41" s="35">
        <f t="shared" si="0"/>
        <v>1.8323967749811487E-4</v>
      </c>
      <c r="I41" s="23">
        <v>2620</v>
      </c>
      <c r="J41" s="35">
        <f t="shared" si="1"/>
        <v>0</v>
      </c>
    </row>
    <row r="42" spans="2:10" s="21" customFormat="1" x14ac:dyDescent="0.25">
      <c r="B42" s="21" t="s">
        <v>98</v>
      </c>
      <c r="F42" s="22">
        <v>743.13099999999997</v>
      </c>
      <c r="G42" s="23">
        <v>790.22400000000005</v>
      </c>
      <c r="H42" s="35">
        <f t="shared" si="0"/>
        <v>-5.9594494725546232E-2</v>
      </c>
      <c r="I42" s="23">
        <v>1047.1769999999999</v>
      </c>
      <c r="J42" s="35">
        <f t="shared" si="1"/>
        <v>-0.29034824103279577</v>
      </c>
    </row>
    <row r="43" spans="2:10" s="21" customFormat="1" x14ac:dyDescent="0.25">
      <c r="B43" s="21" t="s">
        <v>22</v>
      </c>
      <c r="F43" s="22">
        <v>41227.453000000001</v>
      </c>
      <c r="G43" s="23">
        <v>42235.576000000001</v>
      </c>
      <c r="H43" s="35">
        <f t="shared" si="0"/>
        <v>-2.3869048216602962E-2</v>
      </c>
      <c r="I43" s="23">
        <v>40759.451999999997</v>
      </c>
      <c r="J43" s="35">
        <f t="shared" si="1"/>
        <v>1.1482023850566181E-2</v>
      </c>
    </row>
    <row r="44" spans="2:10" s="21" customFormat="1" x14ac:dyDescent="0.25">
      <c r="B44" s="21" t="s">
        <v>99</v>
      </c>
      <c r="F44" s="22">
        <v>4035.0990000000002</v>
      </c>
      <c r="G44" s="23">
        <v>4857.3869999999997</v>
      </c>
      <c r="H44" s="35">
        <f t="shared" si="0"/>
        <v>-0.16928607912031712</v>
      </c>
      <c r="I44" s="23">
        <v>4058.91</v>
      </c>
      <c r="J44" s="35">
        <f t="shared" si="1"/>
        <v>-5.866353282038661E-3</v>
      </c>
    </row>
    <row r="45" spans="2:10" s="21" customFormat="1" x14ac:dyDescent="0.25">
      <c r="B45" s="21" t="s">
        <v>100</v>
      </c>
      <c r="D45" s="1"/>
      <c r="E45" s="1"/>
      <c r="F45" s="22">
        <v>531.80999999999995</v>
      </c>
      <c r="G45" s="23">
        <v>622.22699999999998</v>
      </c>
      <c r="H45" s="35">
        <f t="shared" si="0"/>
        <v>-0.14531191992632919</v>
      </c>
      <c r="I45" s="23">
        <v>642.09799999999996</v>
      </c>
      <c r="J45" s="35">
        <f t="shared" si="1"/>
        <v>-0.17176194288099322</v>
      </c>
    </row>
    <row r="46" spans="2:10" x14ac:dyDescent="0.25">
      <c r="B46" s="19" t="s">
        <v>80</v>
      </c>
      <c r="F46" s="22">
        <v>168.97200000000001</v>
      </c>
      <c r="G46" s="11">
        <v>135.02799999999999</v>
      </c>
      <c r="H46" s="35">
        <f t="shared" si="0"/>
        <v>0.25138489794709251</v>
      </c>
      <c r="I46" s="11">
        <v>212.69499999999999</v>
      </c>
      <c r="J46" s="35">
        <f t="shared" si="1"/>
        <v>-0.20556665647993599</v>
      </c>
    </row>
    <row r="47" spans="2:10" x14ac:dyDescent="0.25">
      <c r="B47" s="19" t="s">
        <v>101</v>
      </c>
      <c r="F47" s="22">
        <v>635.35</v>
      </c>
      <c r="G47" s="11">
        <v>661.49300000000005</v>
      </c>
      <c r="H47" s="35">
        <f t="shared" si="0"/>
        <v>-3.952120430601691E-2</v>
      </c>
      <c r="I47" s="11">
        <v>656.18200000000002</v>
      </c>
      <c r="J47" s="35">
        <f t="shared" si="1"/>
        <v>-3.1747289623915265E-2</v>
      </c>
    </row>
    <row r="48" spans="2:10" x14ac:dyDescent="0.25">
      <c r="B48" s="1" t="s">
        <v>102</v>
      </c>
      <c r="F48" s="22">
        <v>558.41999999999996</v>
      </c>
      <c r="G48" s="11">
        <v>533.55999999999995</v>
      </c>
      <c r="H48" s="35">
        <f t="shared" si="0"/>
        <v>4.6592698103306018E-2</v>
      </c>
      <c r="I48" s="11">
        <v>480.67899999999997</v>
      </c>
      <c r="J48" s="35">
        <f t="shared" si="1"/>
        <v>0.16173163379303035</v>
      </c>
    </row>
    <row r="49" spans="2:10" x14ac:dyDescent="0.25">
      <c r="B49" s="19" t="s">
        <v>103</v>
      </c>
      <c r="F49" s="22">
        <v>285.14</v>
      </c>
      <c r="G49" s="11">
        <v>294.24</v>
      </c>
      <c r="H49" s="35">
        <f t="shared" si="0"/>
        <v>-3.0927134312126237E-2</v>
      </c>
      <c r="I49" s="11">
        <v>311.577</v>
      </c>
      <c r="J49" s="35">
        <f t="shared" si="1"/>
        <v>-8.4849010036042505E-2</v>
      </c>
    </row>
    <row r="50" spans="2:10" ht="17.25" x14ac:dyDescent="0.3">
      <c r="B50" s="19" t="s">
        <v>104</v>
      </c>
      <c r="D50" s="6"/>
      <c r="E50" s="6"/>
      <c r="F50" s="22">
        <v>174.62899999999999</v>
      </c>
      <c r="G50" s="11">
        <v>157.00899999999999</v>
      </c>
      <c r="H50" s="35">
        <f t="shared" si="0"/>
        <v>0.11222286620512212</v>
      </c>
      <c r="I50" s="11">
        <v>177.59200000000001</v>
      </c>
      <c r="J50" s="35">
        <f t="shared" si="1"/>
        <v>-1.6684310104058908E-2</v>
      </c>
    </row>
    <row r="51" spans="2:10" s="6" customFormat="1" ht="17.25" x14ac:dyDescent="0.3">
      <c r="B51" s="6" t="s">
        <v>105</v>
      </c>
      <c r="D51" s="19"/>
      <c r="E51" s="19"/>
      <c r="F51" s="18">
        <f>+F39+F40+F46+F47+F48+F49+F50</f>
        <v>51120.112999999998</v>
      </c>
      <c r="G51" s="27">
        <f>+G39+G40+G46+G47+G48+G49+G50</f>
        <v>53038.066999999995</v>
      </c>
      <c r="H51" s="39">
        <f t="shared" si="0"/>
        <v>-3.6161838251005607E-2</v>
      </c>
      <c r="I51" s="40">
        <f>+I39+I40+I46+I47+I48+I49+I50</f>
        <v>51115.986999999994</v>
      </c>
      <c r="J51" s="39">
        <f t="shared" si="1"/>
        <v>8.0718386598066516E-5</v>
      </c>
    </row>
    <row r="52" spans="2:10" x14ac:dyDescent="0.25">
      <c r="B52" s="19" t="s">
        <v>106</v>
      </c>
      <c r="C52" s="19"/>
      <c r="D52" s="19"/>
      <c r="E52" s="19"/>
      <c r="F52" s="20">
        <v>4875.5159999999996</v>
      </c>
      <c r="G52" s="25">
        <v>4757.9840000000004</v>
      </c>
      <c r="H52" s="35">
        <f t="shared" si="0"/>
        <v>2.470205868704034E-2</v>
      </c>
      <c r="I52" s="25">
        <v>4916.7240000000002</v>
      </c>
      <c r="J52" s="35">
        <f t="shared" si="1"/>
        <v>-8.3811904023900485E-3</v>
      </c>
    </row>
    <row r="53" spans="2:10" x14ac:dyDescent="0.25">
      <c r="B53" s="19" t="s">
        <v>107</v>
      </c>
      <c r="C53" s="19"/>
      <c r="D53" s="19"/>
      <c r="E53" s="19"/>
      <c r="F53" s="20">
        <v>507.46</v>
      </c>
      <c r="G53" s="25">
        <v>568.35900000000004</v>
      </c>
      <c r="H53" s="35">
        <f t="shared" si="0"/>
        <v>-0.10714882670987891</v>
      </c>
      <c r="I53" s="25">
        <v>558.697</v>
      </c>
      <c r="J53" s="35">
        <f t="shared" si="1"/>
        <v>-9.1708027786080892E-2</v>
      </c>
    </row>
    <row r="54" spans="2:10" ht="17.25" x14ac:dyDescent="0.3">
      <c r="B54" s="19" t="s">
        <v>108</v>
      </c>
      <c r="C54" s="19"/>
      <c r="D54" s="6"/>
      <c r="E54" s="6"/>
      <c r="F54" s="20">
        <v>12.827</v>
      </c>
      <c r="G54" s="25">
        <v>11.262</v>
      </c>
      <c r="H54" s="35">
        <f t="shared" si="0"/>
        <v>0.13896288403480717</v>
      </c>
      <c r="I54" s="25">
        <v>10.954000000000001</v>
      </c>
      <c r="J54" s="35">
        <f t="shared" si="1"/>
        <v>0.17098776702574403</v>
      </c>
    </row>
    <row r="55" spans="2:10" s="6" customFormat="1" ht="17.25" x14ac:dyDescent="0.3">
      <c r="B55" s="6" t="s">
        <v>109</v>
      </c>
      <c r="F55" s="18">
        <f>+SUM(F52:F54)</f>
        <v>5395.8029999999999</v>
      </c>
      <c r="G55" s="27">
        <f>SUM(G52:G54)</f>
        <v>5337.6050000000005</v>
      </c>
      <c r="H55" s="39">
        <f t="shared" si="0"/>
        <v>1.0903392064418371E-2</v>
      </c>
      <c r="I55" s="27">
        <f>+SUM(I52:I54)</f>
        <v>5486.375</v>
      </c>
      <c r="J55" s="39">
        <f t="shared" si="1"/>
        <v>-1.6508532500968287E-2</v>
      </c>
    </row>
    <row r="56" spans="2:10" s="6" customFormat="1" ht="17.25" x14ac:dyDescent="0.3">
      <c r="B56" s="6" t="s">
        <v>110</v>
      </c>
      <c r="D56" s="1"/>
      <c r="E56" s="1"/>
      <c r="F56" s="18">
        <f>+F51+F55</f>
        <v>56515.915999999997</v>
      </c>
      <c r="G56" s="27">
        <f>+G51+G55</f>
        <v>58375.671999999999</v>
      </c>
      <c r="H56" s="39">
        <f t="shared" si="0"/>
        <v>-3.1858408413696693E-2</v>
      </c>
      <c r="I56" s="27">
        <f>+I51+I55</f>
        <v>56602.361999999994</v>
      </c>
      <c r="J56" s="39">
        <f t="shared" si="1"/>
        <v>-1.5272507532458901E-3</v>
      </c>
    </row>
    <row r="57" spans="2:10" x14ac:dyDescent="0.25">
      <c r="G57" s="12"/>
      <c r="H57" s="26"/>
      <c r="I57" s="12"/>
      <c r="J57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111</v>
      </c>
    </row>
    <row r="12" spans="2:9" ht="17.25" x14ac:dyDescent="0.3">
      <c r="B12" s="6" t="s">
        <v>13</v>
      </c>
      <c r="G12" s="4"/>
    </row>
    <row r="13" spans="2:9" x14ac:dyDescent="0.25">
      <c r="B13" s="74" t="s">
        <v>14</v>
      </c>
      <c r="G13" s="4"/>
    </row>
    <row r="14" spans="2:9" x14ac:dyDescent="0.25">
      <c r="B14" s="7"/>
      <c r="C14" s="7"/>
      <c r="D14" s="7"/>
      <c r="E14" s="7"/>
      <c r="F14" s="8" t="s">
        <v>10</v>
      </c>
      <c r="G14" s="9" t="s">
        <v>30</v>
      </c>
      <c r="H14" s="9" t="s">
        <v>29</v>
      </c>
    </row>
    <row r="15" spans="2:9" x14ac:dyDescent="0.25">
      <c r="B15" s="1" t="s">
        <v>22</v>
      </c>
      <c r="F15" s="10">
        <f>+Balantzea!F43</f>
        <v>41227.453000000001</v>
      </c>
      <c r="G15" s="11">
        <f>+Balantzea!$G$43</f>
        <v>42235.576000000001</v>
      </c>
      <c r="H15" s="35">
        <f>IF(ISERROR($F15/G15),"-",$F15/G15-1)</f>
        <v>-2.3869048216602962E-2</v>
      </c>
      <c r="I15" s="12"/>
    </row>
    <row r="16" spans="2:9" s="5" customFormat="1" x14ac:dyDescent="0.25">
      <c r="B16" s="5" t="s">
        <v>24</v>
      </c>
      <c r="F16" s="17">
        <f>+'KF-B'!E24</f>
        <v>38874.108071310002</v>
      </c>
      <c r="G16" s="37">
        <f>+'KF-B'!F24</f>
        <v>37928.7635753</v>
      </c>
      <c r="H16" s="38">
        <f t="shared" ref="H16:H25" si="0">IF(ISERROR($F16/G16),"-",$F16/G16-1)</f>
        <v>2.492421072817752E-2</v>
      </c>
    </row>
    <row r="17" spans="2:11" x14ac:dyDescent="0.25">
      <c r="B17" s="1" t="s">
        <v>112</v>
      </c>
      <c r="F17" s="10">
        <v>1925.6320000000001</v>
      </c>
      <c r="G17" s="11">
        <v>2031.963</v>
      </c>
      <c r="H17" s="35">
        <f t="shared" si="0"/>
        <v>-5.2329200876196968E-2</v>
      </c>
    </row>
    <row r="18" spans="2:11" x14ac:dyDescent="0.25">
      <c r="B18" s="1" t="s">
        <v>113</v>
      </c>
      <c r="F18" s="10">
        <f>+F16-F17</f>
        <v>36948.476071310004</v>
      </c>
      <c r="G18" s="11">
        <f>+G16-G17</f>
        <v>35896.800575299996</v>
      </c>
      <c r="H18" s="35">
        <f t="shared" si="0"/>
        <v>2.9297193041032399E-2</v>
      </c>
    </row>
    <row r="19" spans="2:11" s="21" customFormat="1" x14ac:dyDescent="0.25">
      <c r="B19" s="21" t="s">
        <v>114</v>
      </c>
      <c r="F19" s="22">
        <v>23407.296999999999</v>
      </c>
      <c r="G19" s="23">
        <v>20346.002</v>
      </c>
      <c r="H19" s="41">
        <f t="shared" si="0"/>
        <v>0.15046174673530444</v>
      </c>
    </row>
    <row r="20" spans="2:11" s="21" customFormat="1" x14ac:dyDescent="0.25">
      <c r="B20" s="21" t="s">
        <v>115</v>
      </c>
      <c r="F20" s="22">
        <v>12632.784008450002</v>
      </c>
      <c r="G20" s="23">
        <v>14659.042230450001</v>
      </c>
      <c r="H20" s="41">
        <f t="shared" si="0"/>
        <v>-0.13822582609053558</v>
      </c>
    </row>
    <row r="21" spans="2:11" s="21" customFormat="1" x14ac:dyDescent="0.25">
      <c r="B21" s="21" t="s">
        <v>116</v>
      </c>
      <c r="F21" s="22">
        <v>889.85799999999995</v>
      </c>
      <c r="G21" s="23">
        <v>788.93600000000004</v>
      </c>
      <c r="H21" s="41">
        <f t="shared" si="0"/>
        <v>0.12792165650952669</v>
      </c>
      <c r="K21" s="65"/>
    </row>
    <row r="22" spans="2:11" x14ac:dyDescent="0.25">
      <c r="B22" s="1" t="s">
        <v>117</v>
      </c>
      <c r="F22" s="10">
        <v>25227.682999999997</v>
      </c>
      <c r="G22" s="11">
        <v>22211.991000000002</v>
      </c>
      <c r="H22" s="35">
        <f t="shared" si="0"/>
        <v>0.1357686485646421</v>
      </c>
    </row>
    <row r="23" spans="2:11" x14ac:dyDescent="0.25">
      <c r="B23" s="1" t="s">
        <v>118</v>
      </c>
      <c r="F23" s="10">
        <v>13524.63100845</v>
      </c>
      <c r="G23" s="11">
        <v>15527.03723045</v>
      </c>
      <c r="H23" s="35">
        <f t="shared" si="0"/>
        <v>-0.12896254399861229</v>
      </c>
    </row>
    <row r="24" spans="2:11" x14ac:dyDescent="0.25">
      <c r="B24" s="1" t="s">
        <v>119</v>
      </c>
      <c r="F24" s="10">
        <f>+'KF-B'!E25</f>
        <v>17886.114987289995</v>
      </c>
      <c r="G24" s="11">
        <f>+'KF-B'!F25</f>
        <v>16819.046999999999</v>
      </c>
      <c r="H24" s="35">
        <f t="shared" si="0"/>
        <v>6.3444021964502273E-2</v>
      </c>
    </row>
    <row r="25" spans="2:11" s="5" customFormat="1" x14ac:dyDescent="0.25">
      <c r="B25" s="5" t="s">
        <v>120</v>
      </c>
      <c r="F25" s="17">
        <f>+F24+F16</f>
        <v>56760.223058599993</v>
      </c>
      <c r="G25" s="37">
        <f>+G24+G16</f>
        <v>54747.810575299998</v>
      </c>
      <c r="H25" s="38">
        <f t="shared" si="0"/>
        <v>3.6757862317290835E-2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31</v>
      </c>
      <c r="G33" s="4"/>
    </row>
    <row r="34" spans="2:8" x14ac:dyDescent="0.25">
      <c r="B34" s="74" t="s">
        <v>14</v>
      </c>
      <c r="G34" s="4"/>
    </row>
    <row r="35" spans="2:8" x14ac:dyDescent="0.25">
      <c r="B35" s="7"/>
      <c r="C35" s="7"/>
      <c r="D35" s="7"/>
      <c r="E35" s="7"/>
      <c r="F35" s="8" t="s">
        <v>10</v>
      </c>
      <c r="G35" s="9" t="s">
        <v>32</v>
      </c>
      <c r="H35" s="9" t="s">
        <v>29</v>
      </c>
    </row>
    <row r="36" spans="2:8" x14ac:dyDescent="0.25">
      <c r="B36" s="1" t="s">
        <v>22</v>
      </c>
      <c r="F36" s="10">
        <f>+F15</f>
        <v>41227.453000000001</v>
      </c>
      <c r="G36" s="11">
        <f>+Balantzea!$I$43</f>
        <v>40759.451999999997</v>
      </c>
      <c r="H36" s="35">
        <f>IF(ISERROR($F36/G36),"-",$F36/G36-1)</f>
        <v>1.1482023850566181E-2</v>
      </c>
    </row>
    <row r="37" spans="2:8" x14ac:dyDescent="0.25">
      <c r="B37" s="5" t="s">
        <v>24</v>
      </c>
      <c r="C37" s="5"/>
      <c r="D37" s="5"/>
      <c r="E37" s="5"/>
      <c r="F37" s="17">
        <f t="shared" ref="F37:F46" si="1">+F16</f>
        <v>38874.108071310002</v>
      </c>
      <c r="G37" s="37">
        <f>+'KF-B'!F46</f>
        <v>37434.253526619999</v>
      </c>
      <c r="H37" s="38">
        <f t="shared" ref="H37:H46" si="2">IF(ISERROR($F37/G37),"-",$F37/G37-1)</f>
        <v>3.8463557011123584E-2</v>
      </c>
    </row>
    <row r="38" spans="2:8" x14ac:dyDescent="0.25">
      <c r="B38" s="1" t="s">
        <v>112</v>
      </c>
      <c r="F38" s="10">
        <f t="shared" si="1"/>
        <v>1925.6320000000001</v>
      </c>
      <c r="G38" s="11">
        <v>1889.1130000000001</v>
      </c>
      <c r="H38" s="35">
        <f t="shared" si="2"/>
        <v>1.9331294634042484E-2</v>
      </c>
    </row>
    <row r="39" spans="2:8" x14ac:dyDescent="0.25">
      <c r="B39" s="1" t="s">
        <v>113</v>
      </c>
      <c r="F39" s="10">
        <f t="shared" si="1"/>
        <v>36948.476071310004</v>
      </c>
      <c r="G39" s="11">
        <f>+G37-G38</f>
        <v>35545.140526620002</v>
      </c>
      <c r="H39" s="35">
        <f t="shared" si="2"/>
        <v>3.948037689256112E-2</v>
      </c>
    </row>
    <row r="40" spans="2:8" x14ac:dyDescent="0.25">
      <c r="B40" s="21" t="s">
        <v>114</v>
      </c>
      <c r="C40" s="21"/>
      <c r="D40" s="21"/>
      <c r="E40" s="21"/>
      <c r="F40" s="22">
        <f t="shared" si="1"/>
        <v>23407.296999999999</v>
      </c>
      <c r="G40" s="23">
        <v>22306.025000000001</v>
      </c>
      <c r="H40" s="41">
        <f t="shared" si="2"/>
        <v>4.9371055578033118E-2</v>
      </c>
    </row>
    <row r="41" spans="2:8" x14ac:dyDescent="0.25">
      <c r="B41" s="21" t="s">
        <v>115</v>
      </c>
      <c r="C41" s="21"/>
      <c r="D41" s="21"/>
      <c r="E41" s="21"/>
      <c r="F41" s="22">
        <f t="shared" si="1"/>
        <v>12632.784008450002</v>
      </c>
      <c r="G41" s="23">
        <v>12886.562008450001</v>
      </c>
      <c r="H41" s="41">
        <f t="shared" si="2"/>
        <v>-1.9693227707560101E-2</v>
      </c>
    </row>
    <row r="42" spans="2:8" x14ac:dyDescent="0.25">
      <c r="B42" s="21" t="s">
        <v>116</v>
      </c>
      <c r="C42" s="21"/>
      <c r="D42" s="21"/>
      <c r="E42" s="21"/>
      <c r="F42" s="22">
        <f t="shared" si="1"/>
        <v>889.85799999999995</v>
      </c>
      <c r="G42" s="23">
        <v>286.79000000000002</v>
      </c>
      <c r="H42" s="41">
        <f t="shared" si="2"/>
        <v>2.1028208793890997</v>
      </c>
    </row>
    <row r="43" spans="2:8" x14ac:dyDescent="0.25">
      <c r="B43" s="1" t="s">
        <v>117</v>
      </c>
      <c r="F43" s="10">
        <f t="shared" si="1"/>
        <v>25227.682999999997</v>
      </c>
      <c r="G43" s="11">
        <v>23994.853999999999</v>
      </c>
      <c r="H43" s="35">
        <f t="shared" si="2"/>
        <v>5.1378891490650336E-2</v>
      </c>
    </row>
    <row r="44" spans="2:8" x14ac:dyDescent="0.25">
      <c r="B44" s="1" t="s">
        <v>118</v>
      </c>
      <c r="F44" s="10">
        <f t="shared" si="1"/>
        <v>13524.63100845</v>
      </c>
      <c r="G44" s="11">
        <v>13373.636008450001</v>
      </c>
      <c r="H44" s="35">
        <f t="shared" si="2"/>
        <v>1.12904972069372E-2</v>
      </c>
    </row>
    <row r="45" spans="2:8" x14ac:dyDescent="0.25">
      <c r="B45" s="1" t="s">
        <v>119</v>
      </c>
      <c r="F45" s="10">
        <f t="shared" si="1"/>
        <v>17886.114987289995</v>
      </c>
      <c r="G45" s="11">
        <f>+'KF-B'!F47</f>
        <v>17817.915439289995</v>
      </c>
      <c r="H45" s="35">
        <f t="shared" si="2"/>
        <v>3.8275828747966756E-3</v>
      </c>
    </row>
    <row r="46" spans="2:8" x14ac:dyDescent="0.25">
      <c r="B46" s="5" t="s">
        <v>120</v>
      </c>
      <c r="C46" s="5"/>
      <c r="D46" s="5"/>
      <c r="E46" s="5"/>
      <c r="F46" s="17">
        <f t="shared" si="1"/>
        <v>56760.223058599993</v>
      </c>
      <c r="G46" s="37">
        <f>+G45+G37</f>
        <v>55252.168965909994</v>
      </c>
      <c r="H46" s="38">
        <f t="shared" si="2"/>
        <v>2.7294025210493622E-2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121</v>
      </c>
    </row>
    <row r="12" spans="2:8" ht="17.25" x14ac:dyDescent="0.3">
      <c r="B12" s="6" t="s">
        <v>13</v>
      </c>
      <c r="G12" s="4"/>
    </row>
    <row r="13" spans="2:8" x14ac:dyDescent="0.25">
      <c r="B13" s="74" t="s">
        <v>14</v>
      </c>
      <c r="G13" s="4"/>
    </row>
    <row r="14" spans="2:8" x14ac:dyDescent="0.25">
      <c r="B14" s="7"/>
      <c r="C14" s="7"/>
      <c r="D14" s="7"/>
      <c r="E14" s="7"/>
      <c r="F14" s="8" t="s">
        <v>10</v>
      </c>
      <c r="G14" s="9" t="s">
        <v>30</v>
      </c>
      <c r="H14" s="9" t="s">
        <v>29</v>
      </c>
    </row>
    <row r="15" spans="2:8" x14ac:dyDescent="0.25">
      <c r="B15" s="5" t="s">
        <v>19</v>
      </c>
      <c r="C15" s="5"/>
      <c r="D15" s="5"/>
      <c r="E15" s="5"/>
      <c r="F15" s="17">
        <v>42573.133000000002</v>
      </c>
      <c r="G15" s="37">
        <v>42821.17</v>
      </c>
      <c r="H15" s="69">
        <f>+F15/G15-1</f>
        <v>-5.7923919407152358E-3</v>
      </c>
    </row>
    <row r="16" spans="2:8" s="21" customFormat="1" x14ac:dyDescent="0.25">
      <c r="B16" s="21" t="s">
        <v>122</v>
      </c>
      <c r="F16" s="22">
        <v>43685.809000000001</v>
      </c>
      <c r="G16" s="23">
        <v>45009.845000000001</v>
      </c>
      <c r="H16" s="26">
        <f t="shared" ref="H16:H23" si="0">+F16/G16-1</f>
        <v>-2.9416586526792132E-2</v>
      </c>
    </row>
    <row r="17" spans="2:8" x14ac:dyDescent="0.25">
      <c r="B17" s="1" t="s">
        <v>112</v>
      </c>
      <c r="F17" s="10">
        <v>2658.2419999999961</v>
      </c>
      <c r="G17" s="11">
        <v>2394.9760000000042</v>
      </c>
      <c r="H17" s="26">
        <f t="shared" si="0"/>
        <v>0.10992427481527645</v>
      </c>
    </row>
    <row r="18" spans="2:8" x14ac:dyDescent="0.25">
      <c r="B18" s="1" t="s">
        <v>113</v>
      </c>
      <c r="F18" s="10">
        <v>41027.567000000003</v>
      </c>
      <c r="G18" s="11">
        <v>42614.868999999999</v>
      </c>
      <c r="H18" s="26">
        <f t="shared" si="0"/>
        <v>-3.7247609513946789E-2</v>
      </c>
    </row>
    <row r="19" spans="2:8" x14ac:dyDescent="0.25">
      <c r="B19" s="21" t="s">
        <v>123</v>
      </c>
      <c r="C19" s="21"/>
      <c r="D19" s="21"/>
      <c r="E19" s="21"/>
      <c r="F19" s="22">
        <v>34394.343000000001</v>
      </c>
      <c r="G19" s="23">
        <v>36137.658000000003</v>
      </c>
      <c r="H19" s="67">
        <f t="shared" si="0"/>
        <v>-4.824095130901962E-2</v>
      </c>
    </row>
    <row r="20" spans="2:8" x14ac:dyDescent="0.25">
      <c r="B20" s="21" t="s">
        <v>124</v>
      </c>
      <c r="C20" s="21"/>
      <c r="D20" s="21"/>
      <c r="E20" s="21"/>
      <c r="F20" s="22">
        <v>6633.224000000002</v>
      </c>
      <c r="G20" s="23">
        <v>6477.2109999999957</v>
      </c>
      <c r="H20" s="67">
        <f t="shared" si="0"/>
        <v>2.4086447083475626E-2</v>
      </c>
    </row>
    <row r="21" spans="2:8" x14ac:dyDescent="0.25">
      <c r="B21" s="5" t="s">
        <v>125</v>
      </c>
      <c r="C21" s="5"/>
      <c r="D21" s="5"/>
      <c r="E21" s="5"/>
      <c r="F21" s="17">
        <v>31526.809000000001</v>
      </c>
      <c r="G21" s="37">
        <v>32041.885999999999</v>
      </c>
      <c r="H21" s="69">
        <f t="shared" si="0"/>
        <v>-1.6075114929252177E-2</v>
      </c>
    </row>
    <row r="22" spans="2:8" x14ac:dyDescent="0.25">
      <c r="B22" s="21" t="s">
        <v>123</v>
      </c>
      <c r="C22" s="21"/>
      <c r="D22" s="21"/>
      <c r="E22" s="21"/>
      <c r="F22" s="22">
        <v>29815.881000000001</v>
      </c>
      <c r="G22" s="23">
        <v>30444.508999999998</v>
      </c>
      <c r="H22" s="67">
        <f t="shared" si="0"/>
        <v>-2.064832118001958E-2</v>
      </c>
    </row>
    <row r="23" spans="2:8" x14ac:dyDescent="0.25">
      <c r="B23" s="21" t="s">
        <v>124</v>
      </c>
      <c r="C23" s="21"/>
      <c r="D23" s="21"/>
      <c r="E23" s="21"/>
      <c r="F23" s="22">
        <v>1710.9279999999999</v>
      </c>
      <c r="G23" s="23">
        <v>1597.3770000000004</v>
      </c>
      <c r="H23" s="67">
        <f t="shared" si="0"/>
        <v>7.1085911466109319E-2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31</v>
      </c>
      <c r="G30" s="4"/>
    </row>
    <row r="31" spans="2:8" x14ac:dyDescent="0.25">
      <c r="B31" s="74" t="s">
        <v>14</v>
      </c>
      <c r="G31" s="4"/>
    </row>
    <row r="32" spans="2:8" x14ac:dyDescent="0.25">
      <c r="B32" s="7"/>
      <c r="C32" s="7"/>
      <c r="D32" s="7"/>
      <c r="E32" s="7"/>
      <c r="F32" s="8" t="s">
        <v>10</v>
      </c>
      <c r="G32" s="9" t="s">
        <v>32</v>
      </c>
      <c r="H32" s="9" t="s">
        <v>29</v>
      </c>
    </row>
    <row r="33" spans="2:8" x14ac:dyDescent="0.25">
      <c r="B33" s="5" t="s">
        <v>19</v>
      </c>
      <c r="C33" s="5"/>
      <c r="D33" s="5"/>
      <c r="E33" s="5"/>
      <c r="F33" s="17">
        <f>+F15</f>
        <v>42573.133000000002</v>
      </c>
      <c r="G33" s="37">
        <v>42764.56</v>
      </c>
      <c r="H33" s="69">
        <f>+F33/G33-1</f>
        <v>-4.4763000016835308E-3</v>
      </c>
    </row>
    <row r="34" spans="2:8" x14ac:dyDescent="0.25">
      <c r="B34" s="21" t="s">
        <v>122</v>
      </c>
      <c r="C34" s="21"/>
      <c r="D34" s="21"/>
      <c r="E34" s="21"/>
      <c r="F34" s="22">
        <f t="shared" ref="F34:F41" si="1">+F16</f>
        <v>43685.809000000001</v>
      </c>
      <c r="G34" s="23">
        <v>44374.786</v>
      </c>
      <c r="H34" s="26">
        <f t="shared" ref="H34:H41" si="2">+F34/G34-1</f>
        <v>-1.5526317129732181E-2</v>
      </c>
    </row>
    <row r="35" spans="2:8" x14ac:dyDescent="0.25">
      <c r="B35" s="1" t="s">
        <v>112</v>
      </c>
      <c r="F35" s="10">
        <f t="shared" si="1"/>
        <v>2658.2419999999961</v>
      </c>
      <c r="G35" s="11">
        <v>3066.9939999999979</v>
      </c>
      <c r="H35" s="26">
        <f t="shared" si="2"/>
        <v>-0.13327447005113213</v>
      </c>
    </row>
    <row r="36" spans="2:8" x14ac:dyDescent="0.25">
      <c r="B36" s="1" t="s">
        <v>113</v>
      </c>
      <c r="F36" s="10">
        <f t="shared" si="1"/>
        <v>41027.567000000003</v>
      </c>
      <c r="G36" s="11">
        <v>41307.792000000001</v>
      </c>
      <c r="H36" s="26">
        <f t="shared" si="2"/>
        <v>-6.7838290654702593E-3</v>
      </c>
    </row>
    <row r="37" spans="2:8" x14ac:dyDescent="0.25">
      <c r="B37" s="21" t="s">
        <v>123</v>
      </c>
      <c r="C37" s="21"/>
      <c r="D37" s="21"/>
      <c r="E37" s="21"/>
      <c r="F37" s="22">
        <f t="shared" si="1"/>
        <v>34394.343000000001</v>
      </c>
      <c r="G37" s="23">
        <v>34938.612000000001</v>
      </c>
      <c r="H37" s="67">
        <f t="shared" si="2"/>
        <v>-1.5577865543141778E-2</v>
      </c>
    </row>
    <row r="38" spans="2:8" x14ac:dyDescent="0.25">
      <c r="B38" s="21" t="s">
        <v>124</v>
      </c>
      <c r="C38" s="21"/>
      <c r="D38" s="21"/>
      <c r="E38" s="21"/>
      <c r="F38" s="22">
        <f t="shared" si="1"/>
        <v>6633.224000000002</v>
      </c>
      <c r="G38" s="23">
        <v>6369.18</v>
      </c>
      <c r="H38" s="67">
        <f t="shared" si="2"/>
        <v>4.1456514025353552E-2</v>
      </c>
    </row>
    <row r="39" spans="2:8" x14ac:dyDescent="0.25">
      <c r="B39" s="5" t="s">
        <v>125</v>
      </c>
      <c r="C39" s="5"/>
      <c r="D39" s="5"/>
      <c r="E39" s="5"/>
      <c r="F39" s="17">
        <f t="shared" si="1"/>
        <v>31526.809000000001</v>
      </c>
      <c r="G39" s="37">
        <v>31693.489000000001</v>
      </c>
      <c r="H39" s="69">
        <f t="shared" si="2"/>
        <v>-5.2591243583185454E-3</v>
      </c>
    </row>
    <row r="40" spans="2:8" x14ac:dyDescent="0.25">
      <c r="B40" s="21" t="s">
        <v>123</v>
      </c>
      <c r="C40" s="21"/>
      <c r="D40" s="21"/>
      <c r="E40" s="21"/>
      <c r="F40" s="22">
        <f t="shared" si="1"/>
        <v>29815.881000000001</v>
      </c>
      <c r="G40" s="23">
        <v>30038.852999999999</v>
      </c>
      <c r="H40" s="67">
        <f t="shared" si="2"/>
        <v>-7.4227867488814159E-3</v>
      </c>
    </row>
    <row r="41" spans="2:8" x14ac:dyDescent="0.25">
      <c r="B41" s="21" t="s">
        <v>124</v>
      </c>
      <c r="C41" s="21"/>
      <c r="D41" s="21"/>
      <c r="E41" s="21"/>
      <c r="F41" s="22">
        <f t="shared" si="1"/>
        <v>1710.9279999999999</v>
      </c>
      <c r="G41" s="23">
        <v>1654.6360000000022</v>
      </c>
      <c r="H41" s="67">
        <f t="shared" si="2"/>
        <v>3.4020775566346639E-2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2017-02-24T14:35:53Z</cp:lastPrinted>
  <dcterms:created xsi:type="dcterms:W3CDTF">2017-01-30T09:33:19Z</dcterms:created>
  <dcterms:modified xsi:type="dcterms:W3CDTF">2018-04-18T15:38:27Z</dcterms:modified>
</cp:coreProperties>
</file>